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5520" activeTab="0"/>
  </bookViews>
  <sheets>
    <sheet name="титул" sheetId="1" r:id="rId1"/>
    <sheet name="передача Северк" sheetId="2" r:id="rId2"/>
    <sheet name="цены Северск " sheetId="3" r:id="rId3"/>
    <sheet name="передача Самусь" sheetId="4" r:id="rId4"/>
    <sheet name="цены Самусь" sheetId="5" r:id="rId5"/>
  </sheets>
  <definedNames>
    <definedName name="TABLE" localSheetId="3">'передача Самусь'!$A$7:$F$52</definedName>
    <definedName name="TABLE" localSheetId="1">'передача Северк'!$A$7:$F$52</definedName>
    <definedName name="TABLE" localSheetId="4">'цены Самусь'!$A$8:$G$55</definedName>
    <definedName name="TABLE" localSheetId="2">'цены Северск '!$A$6:$G$59</definedName>
    <definedName name="_xlnm.Print_Titles" localSheetId="3">'передача Самусь'!$7:$7</definedName>
    <definedName name="_xlnm.Print_Titles" localSheetId="1">'передача Северк'!$7:$7</definedName>
    <definedName name="_xlnm.Print_Titles" localSheetId="4">'цены Самусь'!$8:$9</definedName>
    <definedName name="_xlnm.Print_Titles" localSheetId="2">'цены Северск '!$6:$7</definedName>
    <definedName name="_xlnm.Print_Area" localSheetId="3">'передача Самусь'!$A$1:$F$56</definedName>
    <definedName name="_xlnm.Print_Area" localSheetId="1">'передача Северк'!$A$1:$L$56</definedName>
    <definedName name="_xlnm.Print_Area" localSheetId="2">'цены Северск '!$A$2:$AD$29</definedName>
  </definedNames>
  <calcPr fullCalcOnLoad="1"/>
</workbook>
</file>

<file path=xl/comments2.xml><?xml version="1.0" encoding="utf-8"?>
<comments xmlns="http://schemas.openxmlformats.org/spreadsheetml/2006/main">
  <authors>
    <author>Kopylova</author>
    <author>Filatova</author>
  </authors>
  <commentList>
    <comment ref="D10" authorId="0">
      <text>
        <r>
          <rPr>
            <b/>
            <sz val="8"/>
            <rFont val="Tahoma"/>
            <family val="0"/>
          </rPr>
          <t>Kopylova:</t>
        </r>
        <r>
          <rPr>
            <sz val="8"/>
            <rFont val="Tahoma"/>
            <family val="0"/>
          </rPr>
          <t xml:space="preserve">
с учетом потерь и услуг по передаче УЭС</t>
        </r>
      </text>
    </comment>
    <comment ref="D28" authorId="0">
      <text>
        <r>
          <rPr>
            <b/>
            <sz val="8"/>
            <rFont val="Tahoma"/>
            <family val="0"/>
          </rPr>
          <t xml:space="preserve">Kopylova 
</t>
        </r>
        <r>
          <rPr>
            <sz val="8"/>
            <rFont val="Tahoma"/>
            <family val="2"/>
          </rPr>
          <t>с отчислениями на социальные нужды</t>
        </r>
      </text>
    </comment>
    <comment ref="D39" authorId="0">
      <text>
        <r>
          <rPr>
            <b/>
            <sz val="8"/>
            <rFont val="Tahoma"/>
            <family val="0"/>
          </rPr>
          <t>Kopylova:</t>
        </r>
        <r>
          <rPr>
            <sz val="8"/>
            <rFont val="Tahoma"/>
            <family val="0"/>
          </rPr>
          <t xml:space="preserve">
Самусь плюс Северск
</t>
        </r>
      </text>
    </comment>
    <comment ref="D41" authorId="0">
      <text>
        <r>
          <rPr>
            <b/>
            <sz val="8"/>
            <rFont val="Tahoma"/>
            <family val="0"/>
          </rPr>
          <t>Kopylova:</t>
        </r>
        <r>
          <rPr>
            <sz val="8"/>
            <rFont val="Tahoma"/>
            <family val="0"/>
          </rPr>
          <t xml:space="preserve">
счет 08</t>
        </r>
      </text>
    </comment>
    <comment ref="B17" authorId="1">
      <text>
        <r>
          <rPr>
            <b/>
            <sz val="8"/>
            <rFont val="Tahoma"/>
            <family val="0"/>
          </rPr>
          <t>Filatova:</t>
        </r>
        <r>
          <rPr>
            <sz val="8"/>
            <rFont val="Tahoma"/>
            <family val="0"/>
          </rPr>
          <t xml:space="preserve">
2_Заполняются организацией, осуществляющей оперативно-диспетчерское управление в электроэнергетике.</t>
        </r>
      </text>
    </comment>
    <comment ref="B18" authorId="1">
      <text>
        <r>
          <rPr>
            <b/>
            <sz val="8"/>
            <rFont val="Tahoma"/>
            <family val="0"/>
          </rPr>
          <t>Filatova:</t>
        </r>
        <r>
          <rPr>
            <sz val="8"/>
            <rFont val="Tahoma"/>
            <family val="0"/>
          </rPr>
          <t xml:space="preserve">
2_Заполняются организацией, осуществляющей оперативно-диспетчерское управление в электроэнергетике.</t>
        </r>
      </text>
    </comment>
    <comment ref="F23" authorId="1">
      <text>
        <r>
          <rPr>
            <b/>
            <sz val="8"/>
            <rFont val="Tahoma"/>
            <family val="0"/>
          </rPr>
          <t>Filatova:</t>
        </r>
        <r>
          <rPr>
            <sz val="8"/>
            <rFont val="Tahoma"/>
            <family val="0"/>
          </rPr>
          <t xml:space="preserve">
утверждена на период 2015-2017 годы</t>
        </r>
      </text>
    </comment>
    <comment ref="H23" authorId="1">
      <text>
        <r>
          <rPr>
            <b/>
            <sz val="8"/>
            <rFont val="Tahoma"/>
            <family val="0"/>
          </rPr>
          <t>Filatova:</t>
        </r>
        <r>
          <rPr>
            <sz val="8"/>
            <rFont val="Tahoma"/>
            <family val="0"/>
          </rPr>
          <t xml:space="preserve">
утверждена на период 2015-2017 годы</t>
        </r>
      </text>
    </comment>
    <comment ref="I23" authorId="1">
      <text>
        <r>
          <rPr>
            <b/>
            <sz val="8"/>
            <rFont val="Tahoma"/>
            <family val="0"/>
          </rPr>
          <t>Filatova:</t>
        </r>
        <r>
          <rPr>
            <sz val="8"/>
            <rFont val="Tahoma"/>
            <family val="0"/>
          </rPr>
          <t xml:space="preserve">
утверждена на период 2015-2017 годы</t>
        </r>
      </text>
    </comment>
    <comment ref="B24" authorId="1">
      <text>
        <r>
          <rPr>
            <b/>
            <sz val="8"/>
            <rFont val="Tahoma"/>
            <family val="0"/>
          </rPr>
          <t>Filatova:</t>
        </r>
        <r>
          <rPr>
            <sz val="8"/>
            <rFont val="Tahoma"/>
            <family val="0"/>
          </rPr>
          <t xml:space="preserve">
4_Заполняются коммерческим оператором оптового рынка электрической энергии (мощности).</t>
        </r>
      </text>
    </comment>
    <comment ref="I41" authorId="1">
      <text>
        <r>
          <rPr>
            <b/>
            <sz val="8"/>
            <rFont val="Tahoma"/>
            <family val="0"/>
          </rPr>
          <t>Filatova:</t>
        </r>
        <r>
          <rPr>
            <sz val="8"/>
            <rFont val="Tahoma"/>
            <family val="0"/>
          </rPr>
          <t xml:space="preserve">
из Прказа об утверждении инвестиционной программы</t>
        </r>
      </text>
    </comment>
    <comment ref="H48" authorId="1">
      <text>
        <r>
          <rPr>
            <b/>
            <sz val="8"/>
            <rFont val="Tahoma"/>
            <family val="0"/>
          </rPr>
          <t>Filatova:</t>
        </r>
        <r>
          <rPr>
            <sz val="8"/>
            <rFont val="Tahoma"/>
            <family val="0"/>
          </rPr>
          <t xml:space="preserve">
из калькуляции ДТР ТО по тех.присоединению</t>
        </r>
      </text>
    </comment>
    <comment ref="K23" authorId="1">
      <text>
        <r>
          <rPr>
            <b/>
            <sz val="8"/>
            <rFont val="Tahoma"/>
            <family val="0"/>
          </rPr>
          <t>Filatova:</t>
        </r>
        <r>
          <rPr>
            <sz val="8"/>
            <rFont val="Tahoma"/>
            <family val="0"/>
          </rPr>
          <t xml:space="preserve">
утверждена на период 2015-2017 годы</t>
        </r>
      </text>
    </comment>
    <comment ref="L23" authorId="1">
      <text>
        <r>
          <rPr>
            <b/>
            <sz val="8"/>
            <rFont val="Tahoma"/>
            <family val="0"/>
          </rPr>
          <t>Filatova:</t>
        </r>
        <r>
          <rPr>
            <sz val="8"/>
            <rFont val="Tahoma"/>
            <family val="0"/>
          </rPr>
          <t xml:space="preserve">
утверждена на период 2015-2017 годы</t>
        </r>
      </text>
    </comment>
    <comment ref="L41" authorId="1">
      <text>
        <r>
          <rPr>
            <b/>
            <sz val="8"/>
            <rFont val="Tahoma"/>
            <family val="0"/>
          </rPr>
          <t>Filatova:</t>
        </r>
        <r>
          <rPr>
            <sz val="8"/>
            <rFont val="Tahoma"/>
            <family val="0"/>
          </rPr>
          <t xml:space="preserve">
из Прказа об утверждении инвестиционной программы, приказ - 31972 ?
</t>
        </r>
      </text>
    </comment>
    <comment ref="G37" authorId="1">
      <text>
        <r>
          <rPr>
            <b/>
            <sz val="8"/>
            <rFont val="Tahoma"/>
            <family val="0"/>
          </rPr>
          <t>Filatova:</t>
        </r>
        <r>
          <rPr>
            <sz val="8"/>
            <rFont val="Tahoma"/>
            <family val="0"/>
          </rPr>
          <t xml:space="preserve">
услуги по передаче</t>
        </r>
      </text>
    </comment>
    <comment ref="J23" authorId="1">
      <text>
        <r>
          <rPr>
            <b/>
            <sz val="8"/>
            <rFont val="Tahoma"/>
            <family val="0"/>
          </rPr>
          <t>Filatova:</t>
        </r>
        <r>
          <rPr>
            <sz val="8"/>
            <rFont val="Tahoma"/>
            <family val="0"/>
          </rPr>
          <t xml:space="preserve">
утверждена на период 2015-2017 годы</t>
        </r>
      </text>
    </comment>
    <comment ref="K41" authorId="1">
      <text>
        <r>
          <rPr>
            <b/>
            <sz val="8"/>
            <rFont val="Tahoma"/>
            <family val="0"/>
          </rPr>
          <t>Filatova:</t>
        </r>
        <r>
          <rPr>
            <sz val="8"/>
            <rFont val="Tahoma"/>
            <family val="0"/>
          </rPr>
          <t xml:space="preserve">
приказ 34008</t>
        </r>
      </text>
    </comment>
    <comment ref="J47" authorId="1">
      <text>
        <r>
          <rPr>
            <b/>
            <sz val="8"/>
            <rFont val="Tahoma"/>
            <family val="0"/>
          </rPr>
          <t>Filatova:</t>
        </r>
        <r>
          <rPr>
            <sz val="8"/>
            <rFont val="Tahoma"/>
            <family val="0"/>
          </rPr>
          <t xml:space="preserve">
из табл. П.1.16</t>
        </r>
      </text>
    </comment>
    <comment ref="K47" authorId="1">
      <text>
        <r>
          <rPr>
            <b/>
            <sz val="8"/>
            <rFont val="Tahoma"/>
            <family val="0"/>
          </rPr>
          <t>Filatova:</t>
        </r>
        <r>
          <rPr>
            <sz val="8"/>
            <rFont val="Tahoma"/>
            <family val="0"/>
          </rPr>
          <t xml:space="preserve">
пропорцией из нашего расчета на 2016 г. и утвержденного ФОТ по смете ДТР
</t>
        </r>
      </text>
    </comment>
    <comment ref="J52" authorId="1">
      <text>
        <r>
          <rPr>
            <b/>
            <sz val="8"/>
            <rFont val="Tahoma"/>
            <family val="0"/>
          </rPr>
          <t>Filatova:</t>
        </r>
        <r>
          <rPr>
            <sz val="8"/>
            <rFont val="Tahoma"/>
            <family val="0"/>
          </rPr>
          <t xml:space="preserve">
1300+1530-1100 стр.баланса</t>
        </r>
      </text>
    </comment>
    <comment ref="J28" authorId="1">
      <text>
        <r>
          <rPr>
            <b/>
            <sz val="8"/>
            <rFont val="Tahoma"/>
            <family val="0"/>
          </rPr>
          <t>Filatova:</t>
        </r>
        <r>
          <rPr>
            <sz val="8"/>
            <rFont val="Tahoma"/>
            <family val="0"/>
          </rPr>
          <t xml:space="preserve">
с ЕСН
</t>
        </r>
      </text>
    </comment>
    <comment ref="L10" authorId="1">
      <text>
        <r>
          <rPr>
            <b/>
            <sz val="8"/>
            <rFont val="Tahoma"/>
            <family val="0"/>
          </rPr>
          <t>Filatova:</t>
        </r>
        <r>
          <rPr>
            <sz val="8"/>
            <rFont val="Tahoma"/>
            <family val="0"/>
          </rPr>
          <t xml:space="preserve">
из расчета тарифа на 2017 год (см.заявку)</t>
        </r>
      </text>
    </comment>
  </commentList>
</comments>
</file>

<file path=xl/comments3.xml><?xml version="1.0" encoding="utf-8"?>
<comments xmlns="http://schemas.openxmlformats.org/spreadsheetml/2006/main">
  <authors>
    <author>Kopylova</author>
    <author>Filatova</author>
  </authors>
  <commentList>
    <comment ref="D24" authorId="0">
      <text>
        <r>
          <rPr>
            <b/>
            <sz val="8"/>
            <rFont val="Tahoma"/>
            <family val="0"/>
          </rPr>
          <t>Kopylova:</t>
        </r>
        <r>
          <rPr>
            <sz val="8"/>
            <rFont val="Tahoma"/>
            <family val="0"/>
          </rPr>
          <t xml:space="preserve">
из отчета</t>
        </r>
      </text>
    </comment>
    <comment ref="I24" authorId="0">
      <text>
        <r>
          <rPr>
            <b/>
            <sz val="8"/>
            <rFont val="Tahoma"/>
            <family val="0"/>
          </rPr>
          <t>Kopylova:</t>
        </r>
        <r>
          <rPr>
            <sz val="8"/>
            <rFont val="Tahoma"/>
            <family val="0"/>
          </rPr>
          <t xml:space="preserve">
расчет Филатова</t>
        </r>
      </text>
    </comment>
    <comment ref="G20" authorId="0">
      <text>
        <r>
          <rPr>
            <b/>
            <sz val="8"/>
            <rFont val="Tahoma"/>
            <family val="0"/>
          </rPr>
          <t>Kopylova:</t>
        </r>
        <r>
          <rPr>
            <sz val="8"/>
            <rFont val="Tahoma"/>
            <family val="0"/>
          </rPr>
          <t xml:space="preserve">
из расчета сбытовой</t>
        </r>
      </text>
    </comment>
    <comment ref="G28" authorId="0">
      <text>
        <r>
          <rPr>
            <b/>
            <sz val="8"/>
            <rFont val="Tahoma"/>
            <family val="0"/>
          </rPr>
          <t>Kopylova:</t>
        </r>
        <r>
          <rPr>
            <sz val="8"/>
            <rFont val="Tahoma"/>
            <family val="0"/>
          </rPr>
          <t xml:space="preserve">
баланс электросети</t>
        </r>
      </text>
    </comment>
    <comment ref="B28" authorId="1">
      <text>
        <r>
          <rPr>
            <b/>
            <sz val="8"/>
            <rFont val="Tahoma"/>
            <family val="0"/>
          </rPr>
          <t>Filatova:</t>
        </r>
        <r>
          <rPr>
            <sz val="8"/>
            <rFont val="Tahoma"/>
            <family val="0"/>
          </rPr>
          <t xml:space="preserve">
полезный отпуск электроэнергии потребителям в целом по городу (тариф котловой)</t>
        </r>
      </text>
    </comment>
    <comment ref="P20" authorId="0">
      <text>
        <r>
          <rPr>
            <b/>
            <sz val="8"/>
            <rFont val="Tahoma"/>
            <family val="0"/>
          </rPr>
          <t>Kopylova:</t>
        </r>
        <r>
          <rPr>
            <sz val="8"/>
            <rFont val="Tahoma"/>
            <family val="0"/>
          </rPr>
          <t xml:space="preserve">
из расчета сбытовой</t>
        </r>
      </text>
    </comment>
    <comment ref="M24" authorId="0">
      <text>
        <r>
          <rPr>
            <b/>
            <sz val="8"/>
            <rFont val="Tahoma"/>
            <family val="0"/>
          </rPr>
          <t>Kopylova:</t>
        </r>
        <r>
          <rPr>
            <sz val="8"/>
            <rFont val="Tahoma"/>
            <family val="0"/>
          </rPr>
          <t xml:space="preserve">
из отчета</t>
        </r>
      </text>
    </comment>
    <comment ref="R24" authorId="0">
      <text>
        <r>
          <rPr>
            <b/>
            <sz val="8"/>
            <rFont val="Tahoma"/>
            <family val="0"/>
          </rPr>
          <t>Kopylova:</t>
        </r>
        <r>
          <rPr>
            <sz val="8"/>
            <rFont val="Tahoma"/>
            <family val="0"/>
          </rPr>
          <t xml:space="preserve">
расчет Филатова</t>
        </r>
      </text>
    </comment>
    <comment ref="P28" authorId="0">
      <text>
        <r>
          <rPr>
            <b/>
            <sz val="8"/>
            <rFont val="Tahoma"/>
            <family val="0"/>
          </rPr>
          <t>Kopylova:</t>
        </r>
        <r>
          <rPr>
            <sz val="8"/>
            <rFont val="Tahoma"/>
            <family val="0"/>
          </rPr>
          <t xml:space="preserve">
баланс электросети</t>
        </r>
      </text>
    </comment>
    <comment ref="Y20" authorId="0">
      <text>
        <r>
          <rPr>
            <b/>
            <sz val="8"/>
            <rFont val="Tahoma"/>
            <family val="0"/>
          </rPr>
          <t>Kopylova:</t>
        </r>
        <r>
          <rPr>
            <sz val="8"/>
            <rFont val="Tahoma"/>
            <family val="0"/>
          </rPr>
          <t xml:space="preserve">
из расчета сбытовой</t>
        </r>
      </text>
    </comment>
    <comment ref="V24" authorId="0">
      <text>
        <r>
          <rPr>
            <b/>
            <sz val="8"/>
            <rFont val="Tahoma"/>
            <family val="0"/>
          </rPr>
          <t>Kopylova:</t>
        </r>
        <r>
          <rPr>
            <sz val="8"/>
            <rFont val="Tahoma"/>
            <family val="0"/>
          </rPr>
          <t xml:space="preserve">
из отчета</t>
        </r>
      </text>
    </comment>
    <comment ref="B26" authorId="1">
      <text>
        <r>
          <rPr>
            <b/>
            <sz val="8"/>
            <rFont val="Tahoma"/>
            <family val="0"/>
          </rPr>
          <t>Filatova:</t>
        </r>
        <r>
          <rPr>
            <sz val="8"/>
            <rFont val="Tahoma"/>
            <family val="0"/>
          </rPr>
          <t xml:space="preserve">
 ООО Эл.сети  томск, СЭС
</t>
        </r>
      </text>
    </comment>
    <comment ref="V20" authorId="1">
      <text>
        <r>
          <rPr>
            <b/>
            <sz val="8"/>
            <rFont val="Tahoma"/>
            <family val="0"/>
          </rPr>
          <t>Filatova:</t>
        </r>
        <r>
          <rPr>
            <sz val="8"/>
            <rFont val="Tahoma"/>
            <family val="0"/>
          </rPr>
          <t xml:space="preserve">
в сетя Эл.сети</t>
        </r>
      </text>
    </comment>
    <comment ref="AA24" authorId="0">
      <text>
        <r>
          <rPr>
            <b/>
            <sz val="8"/>
            <rFont val="Tahoma"/>
            <family val="0"/>
          </rPr>
          <t>Kopylova:</t>
        </r>
        <r>
          <rPr>
            <sz val="8"/>
            <rFont val="Tahoma"/>
            <family val="0"/>
          </rPr>
          <t xml:space="preserve">
расчет Филатова</t>
        </r>
      </text>
    </comment>
  </commentList>
</comments>
</file>

<file path=xl/comments4.xml><?xml version="1.0" encoding="utf-8"?>
<comments xmlns="http://schemas.openxmlformats.org/spreadsheetml/2006/main">
  <authors>
    <author>Kopylova</author>
    <author>Filatova</author>
  </authors>
  <commentList>
    <comment ref="D28" authorId="0">
      <text>
        <r>
          <rPr>
            <b/>
            <sz val="8"/>
            <rFont val="Tahoma"/>
            <family val="0"/>
          </rPr>
          <t xml:space="preserve">Kopylova 
</t>
        </r>
        <r>
          <rPr>
            <sz val="8"/>
            <rFont val="Tahoma"/>
            <family val="2"/>
          </rPr>
          <t>с отчислениями на социальные нужды</t>
        </r>
      </text>
    </comment>
    <comment ref="D39" authorId="0">
      <text>
        <r>
          <rPr>
            <b/>
            <sz val="8"/>
            <rFont val="Tahoma"/>
            <family val="0"/>
          </rPr>
          <t>Kopylova:</t>
        </r>
        <r>
          <rPr>
            <sz val="8"/>
            <rFont val="Tahoma"/>
            <family val="0"/>
          </rPr>
          <t xml:space="preserve">
Самусь плюс Северск
</t>
        </r>
      </text>
    </comment>
    <comment ref="B17" authorId="1">
      <text>
        <r>
          <rPr>
            <b/>
            <sz val="8"/>
            <rFont val="Tahoma"/>
            <family val="0"/>
          </rPr>
          <t>Filatova:</t>
        </r>
        <r>
          <rPr>
            <sz val="8"/>
            <rFont val="Tahoma"/>
            <family val="0"/>
          </rPr>
          <t xml:space="preserve">
2_Заполняются организацией, осуществляющей оперативно-диспетчерское управление в электроэнергетике.</t>
        </r>
      </text>
    </comment>
    <comment ref="B18" authorId="1">
      <text>
        <r>
          <rPr>
            <b/>
            <sz val="8"/>
            <rFont val="Tahoma"/>
            <family val="0"/>
          </rPr>
          <t>Filatova:</t>
        </r>
        <r>
          <rPr>
            <sz val="8"/>
            <rFont val="Tahoma"/>
            <family val="0"/>
          </rPr>
          <t xml:space="preserve">
2_Заполняются организацией, осуществляющей оперативно-диспетчерское управление в электроэнергетике.</t>
        </r>
      </text>
    </comment>
    <comment ref="K47" authorId="1">
      <text>
        <r>
          <rPr>
            <b/>
            <sz val="8"/>
            <rFont val="Tahoma"/>
            <family val="0"/>
          </rPr>
          <t>Filatova:</t>
        </r>
        <r>
          <rPr>
            <sz val="8"/>
            <rFont val="Tahoma"/>
            <family val="0"/>
          </rPr>
          <t xml:space="preserve">
пропорцией из нашего расчета на 2016 г. и фот по смете дтр 2016
</t>
        </r>
      </text>
    </comment>
  </commentList>
</comments>
</file>

<file path=xl/comments5.xml><?xml version="1.0" encoding="utf-8"?>
<comments xmlns="http://schemas.openxmlformats.org/spreadsheetml/2006/main">
  <authors>
    <author>Filatova</author>
  </authors>
  <commentList>
    <comment ref="P17" authorId="0">
      <text>
        <r>
          <rPr>
            <b/>
            <sz val="8"/>
            <rFont val="Tahoma"/>
            <family val="0"/>
          </rPr>
          <t>Filatova:</t>
        </r>
        <r>
          <rPr>
            <sz val="8"/>
            <rFont val="Tahoma"/>
            <family val="0"/>
          </rPr>
          <t xml:space="preserve">
приказ ДТР № 6-761</t>
        </r>
      </text>
    </comment>
    <comment ref="S19" authorId="0">
      <text>
        <r>
          <rPr>
            <b/>
            <sz val="8"/>
            <rFont val="Tahoma"/>
            <family val="0"/>
          </rPr>
          <t>Filatova:</t>
        </r>
        <r>
          <rPr>
            <sz val="8"/>
            <rFont val="Tahoma"/>
            <family val="0"/>
          </rPr>
          <t xml:space="preserve">
из расчета тарифа О.М. на 2017 г.
</t>
        </r>
      </text>
    </comment>
    <comment ref="P20" authorId="0">
      <text>
        <r>
          <rPr>
            <b/>
            <sz val="8"/>
            <rFont val="Tahoma"/>
            <family val="0"/>
          </rPr>
          <t>Filatova:</t>
        </r>
        <r>
          <rPr>
            <sz val="8"/>
            <rFont val="Tahoma"/>
            <family val="0"/>
          </rPr>
          <t xml:space="preserve">
из приказа ДТР 6-761
</t>
        </r>
      </text>
    </comment>
    <comment ref="F28" authorId="0">
      <text>
        <r>
          <rPr>
            <b/>
            <sz val="8"/>
            <rFont val="Tahoma"/>
            <family val="0"/>
          </rPr>
          <t>Filatova:</t>
        </r>
        <r>
          <rPr>
            <sz val="8"/>
            <rFont val="Tahoma"/>
            <family val="0"/>
          </rPr>
          <t xml:space="preserve">
поступило в сеть за 2013 год</t>
        </r>
      </text>
    </comment>
  </commentList>
</comments>
</file>

<file path=xl/sharedStrings.xml><?xml version="1.0" encoding="utf-8"?>
<sst xmlns="http://schemas.openxmlformats.org/spreadsheetml/2006/main" count="627" uniqueCount="213">
  <si>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</si>
  <si>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</si>
  <si>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</si>
  <si>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</si>
  <si>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</si>
  <si>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</si>
  <si>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</si>
  <si>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</si>
  <si>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</si>
  <si>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</si>
  <si>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</si>
  <si>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</si>
  <si>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</si>
  <si>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</si>
  <si>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</si>
  <si>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</si>
  <si>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</si>
  <si>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</si>
  <si>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</si>
  <si>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</si>
  <si>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</si>
  <si>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</si>
  <si>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</si>
  <si>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</si>
  <si>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</si>
  <si>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</si>
  <si>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</si>
  <si>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</si>
  <si>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</si>
  <si>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</si>
  <si>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</si>
  <si>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</si>
  <si>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</si>
  <si>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</si>
  <si>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</si>
  <si>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</si>
  <si>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</si>
  <si>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</si>
  <si>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</si>
  <si>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</si>
  <si>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</si>
  <si>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</si>
  <si>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</si>
  <si>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</si>
  <si>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</si>
  <si>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</si>
  <si>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</si>
  <si>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</si>
  <si>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</si>
  <si>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</si>
  <si>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</si>
  <si>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</si>
  <si>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</si>
  <si>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</si>
  <si>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</si>
  <si>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</si>
  <si>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</si>
  <si>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</si>
  <si>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</si>
  <si>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</si>
  <si>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</si>
  <si>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</si>
  <si>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</si>
  <si>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</si>
  <si>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</si>
  <si>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</si>
  <si>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</si>
  <si>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</si>
  <si>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</si>
  <si>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</si>
  <si>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</si>
  <si>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</si>
  <si>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</si>
  <si>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</si>
  <si>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</si>
  <si>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</si>
  <si>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</si>
  <si>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</si>
  <si>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</si>
  <si>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</si>
  <si>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</si>
  <si>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</si>
  <si>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</si>
  <si>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</si>
  <si>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</si>
  <si>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</si>
  <si>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</si>
  <si>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</si>
  <si>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Приложение № 1 </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</si>
  <si>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</si>
  <si>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</si>
  <si>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</si>
  <si>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</si>
  <si>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</si>
  <si>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</si>
  <si>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</si>
  <si>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</si>
  <si>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</si>
  <si>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</si>
  <si>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руб./МВт в мес.</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</si>
  <si>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</si>
  <si>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</si>
  <si>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</si>
  <si>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</si>
  <si>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</si>
  <si>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</si>
  <si>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</si>
  <si>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</si>
  <si>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</si>
  <si>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</si>
  <si>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</si>
  <si>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</si>
  <si>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</si>
  <si>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</si>
  <si>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</si>
  <si>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</si>
  <si>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</si>
  <si>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</si>
  <si>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</si>
  <si>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</si>
  <si>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</si>
  <si>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</si>
  <si>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</si>
  <si>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</si>
  <si>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</si>
  <si>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</si>
  <si>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</si>
  <si>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</si>
  <si>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</si>
  <si>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</si>
  <si>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</si>
  <si>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</si>
  <si>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</si>
  <si>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</si>
  <si>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</si>
  <si>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</si>
  <si>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</si>
  <si>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</si>
  <si>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</si>
  <si>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</si>
  <si>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</si>
  <si>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</si>
  <si>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</si>
  <si>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Общество с ограниченной ответственностью "Электросети"</t>
  </si>
  <si>
    <t xml:space="preserve">ООО «Электросети» </t>
  </si>
  <si>
    <t>636071, Томская область, г. Северск, ул.Мира, д.18 «б»,стр.4</t>
  </si>
  <si>
    <t>Макаренко Виталий Алексеевич</t>
  </si>
  <si>
    <t xml:space="preserve"> 8 3823 77 49 86</t>
  </si>
  <si>
    <t>ges@seversk.ru</t>
  </si>
  <si>
    <t xml:space="preserve">расходов на финансирование капитальных вложений, </t>
  </si>
  <si>
    <t xml:space="preserve">расходов, связанных с арендой имущества, используемого для осуществления регулируемой деятельности, лизинговых платежей, </t>
  </si>
  <si>
    <t xml:space="preserve">расходов на оплату услуг (продукции), оказываемых организациями, осуществляющими регулируемую деятельность, </t>
  </si>
  <si>
    <t xml:space="preserve">расходов на амортизацию основных средств и нематериальных активов, </t>
  </si>
  <si>
    <t>расходов на оплату нормативных технологических потерь в сетях;</t>
  </si>
  <si>
    <t>налогов и сборов, предусмотренных законодательством Российской Федерации о налогах и сборах</t>
  </si>
  <si>
    <t xml:space="preserve">расходов на возврат и обслуживание заемных средств, в том числе направленных на финансирование капитальных вложений, </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</si>
  <si>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t>
    </r>
    <r>
      <rPr>
        <b/>
        <sz val="12"/>
        <rFont val="Times New Roman"/>
        <family val="1"/>
      </rPr>
      <t xml:space="preserve">подконтрольные расходы </t>
    </r>
    <r>
      <rPr>
        <b/>
        <vertAlign val="superscript"/>
        <sz val="12"/>
        <rFont val="Times New Roman"/>
        <family val="1"/>
      </rPr>
      <t>3</t>
    </r>
    <r>
      <rPr>
        <b/>
        <sz val="12"/>
        <rFont val="Times New Roman"/>
        <family val="1"/>
      </rPr>
      <t xml:space="preserve"> - всего</t>
    </r>
  </si>
  <si>
    <t>за исключением</t>
  </si>
  <si>
    <t>Отраслевое тарифное соглашение в жилищно-коммунальном хозяйстве Российской Федерации на 2014-2016 годы. Регистрационный № 230/14-16 от 01.10.2013. Срок действия 2014-2016 гг.</t>
  </si>
  <si>
    <t xml:space="preserve">Отраслевое тарифное соглашение в жилищно-коммунальном хозяйстве Российской Федерации на 2008 - 2010 годы.  № 01/68-В 19.02.2010
Утверждено Росстроем 02.07.2007. Срок действия   2008-2014 гг.
</t>
  </si>
  <si>
    <t>Приказ Департамента тарифного регулирования Томской области от 18.08.2014 № 19/142</t>
  </si>
  <si>
    <t>не утверждалась</t>
  </si>
  <si>
    <t>стоимость</t>
  </si>
  <si>
    <t>количество</t>
  </si>
  <si>
    <t xml:space="preserve">Приказ Департамента тарифного регулирования и государственного заказа Томской области от 21.12.2012 № 47/684 "Об утверждении значений целевых показателей энергосбережения и повышения энергетической эффективности для территориальных сетевых организаций Томской области до 2015 года"
</t>
  </si>
  <si>
    <t xml:space="preserve">Приказ Департамента тарифного регулирования Томской области от 28.03.2014 № 8/59 "Об установлении целевых показателей энергосбережения и повышения энергетической эффективности для территориальных сетевых организаций"
</t>
  </si>
  <si>
    <r>
      <t xml:space="preserve">Объем полезного отпуска электроэнергии - всего </t>
    </r>
    <r>
      <rPr>
        <vertAlign val="superscript"/>
        <sz val="12"/>
        <rFont val="Times New Roman"/>
        <family val="1"/>
      </rPr>
      <t>3</t>
    </r>
  </si>
  <si>
    <t>3.4.</t>
  </si>
  <si>
    <t xml:space="preserve">Всего себестоимость товарной продукции </t>
  </si>
  <si>
    <t>НВВ</t>
  </si>
  <si>
    <t>Проверка</t>
  </si>
  <si>
    <t xml:space="preserve">9,24% сети г.Северск утверждены Приказом Минэнерго России от 04.09.2012
№ 421 «Об утверждении нормативов технологических потерь электрической энергии при ее передаче по электрическим сетям на 2013 год».
</t>
  </si>
  <si>
    <t xml:space="preserve">9,24% сети г.Северск утверждены Приказом Минэнерго России от 26.09.2013
№ 665 «Об утверждении нормативов технологических потерь электрической энергии при ее передаче по электрическим сетям на 2014 год».
</t>
  </si>
  <si>
    <t xml:space="preserve">9,23% сети г.Северск, утверждены Приказом Минэнерго России от 22.07.2014
№ 449 «Об утверждении нормативов технологических потерь электрической энергии при ее передаче по электрическим сетям на 2015 год».
</t>
  </si>
  <si>
    <t>год</t>
  </si>
  <si>
    <t xml:space="preserve">7,85 % - сети п.Самусь утверждены Приказом Минэнерго России от 04.09.2012
№ 421 «Об утверждении нормативов технологических потерь электрической энергии при ее передаче по электрическим сетям на 2013 год».
</t>
  </si>
  <si>
    <t xml:space="preserve"> 7,85 % - сети п.Самусь утверждены Приказом Минэнерго России от 26.09.2013
№ 665 «Об утверждении нормативов технологических потерь электрической энергии при ее передаче по электрическим сетям на 2014 год».
</t>
  </si>
  <si>
    <t xml:space="preserve">7,82 % - сети п.Самусь утверждены Приказом Минэнерго России от 22.07.2014
№ 449 «Об утверждении нормативов технологических потерь электрической энергии при ее передаче по электрическим сетям на 2015 год».
</t>
  </si>
  <si>
    <t>в т.ч. На покупку потерь</t>
  </si>
  <si>
    <t>на содержание</t>
  </si>
  <si>
    <t>на содержание смежных сетей</t>
  </si>
  <si>
    <t xml:space="preserve">на содержание ООО «Электросети» </t>
  </si>
  <si>
    <t xml:space="preserve">поступление в сеть ООО «Электросети» </t>
  </si>
  <si>
    <t>потери</t>
  </si>
  <si>
    <t>руб./кВт·ч</t>
  </si>
  <si>
    <t>кВт·ч</t>
  </si>
  <si>
    <t xml:space="preserve">тариф на электрическую энергию в целях компенсации потерь в сетях
</t>
  </si>
  <si>
    <t>Котловой тариф</t>
  </si>
  <si>
    <t>2013 год</t>
  </si>
  <si>
    <t>2014 год</t>
  </si>
  <si>
    <t>2015 год</t>
  </si>
  <si>
    <t>2016 год</t>
  </si>
  <si>
    <t>ООО "Электросети" (сети г.Северск)</t>
  </si>
  <si>
    <t>ООО "Электросети" (сети пос.Самусь, пос.Орловка, д.Кижирово)</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</si>
  <si>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</si>
  <si>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</si>
  <si>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 xml:space="preserve">количество </t>
  </si>
  <si>
    <t>услуги по передаче электрической энергии ООО "Электросети" (сети г.Северск)</t>
  </si>
  <si>
    <t>тыс.кВт*ч</t>
  </si>
  <si>
    <t>7,35%
норматив рассчитан на основании Приказа Минэнерго России от 30.09.2014 №674</t>
  </si>
  <si>
    <t>2017 год</t>
  </si>
  <si>
    <t>7,05 % сети г.Северск, утверждены Приказом Минэнерго России от 30.09.2014
№ 674 «Об утверждении нормативов потерь электрической энергии при ее передаче по электрическим сетям территориальных сетевых организаций»</t>
  </si>
  <si>
    <t>14,39%
норматив рассчитан на основании Приказа Минэнерго России от 30.09.2014 №674</t>
  </si>
  <si>
    <t>поступило в сеть</t>
  </si>
  <si>
    <r>
      <t>_____</t>
    </r>
    <r>
      <rPr>
        <vertAlign val="superscript"/>
        <sz val="10"/>
        <rFont val="Times New Roman"/>
        <family val="1"/>
      </rPr>
      <t>1</t>
    </r>
    <r>
      <rPr>
        <sz val="10"/>
        <rFont val="Times New Roman"/>
        <family val="1"/>
      </rPr>
      <t>_Базовый период - год, предшествующий расчетному периоду регулирования.</t>
    </r>
  </si>
  <si>
    <r>
      <t>_____</t>
    </r>
    <r>
      <rPr>
        <vertAlign val="superscript"/>
        <sz val="10"/>
        <rFont val="Times New Roman"/>
        <family val="1"/>
      </rPr>
      <t>2</t>
    </r>
    <r>
      <rPr>
        <sz val="10"/>
        <rFont val="Times New Roman"/>
        <family val="1"/>
      </rPr>
      <t>_Заполняются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</si>
  <si>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rFont val="Times New Roman"/>
        <family val="1"/>
      </rPr>
      <t>_Заполняются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</si>
  <si>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rFont val="Times New Roman"/>
        <family val="1"/>
      </rPr>
      <t>_Заполняются коммерческим оператором оптового рынка электрической энергии (мощности).</t>
    </r>
  </si>
  <si>
    <r>
      <t>1,2 - 2,5 кг/см</t>
    </r>
    <r>
      <rPr>
        <vertAlign val="superscript"/>
        <sz val="11"/>
        <rFont val="Times New Roman"/>
        <family val="1"/>
      </rPr>
      <t>2</t>
    </r>
  </si>
  <si>
    <r>
      <t>2,5 - 7,0 кг/см</t>
    </r>
    <r>
      <rPr>
        <vertAlign val="superscript"/>
        <sz val="11"/>
        <rFont val="Times New Roman"/>
        <family val="1"/>
      </rPr>
      <t>2</t>
    </r>
  </si>
  <si>
    <r>
      <t>7,0 - 13,0 кг/см</t>
    </r>
    <r>
      <rPr>
        <vertAlign val="superscript"/>
        <sz val="11"/>
        <rFont val="Times New Roman"/>
        <family val="1"/>
      </rPr>
      <t>2</t>
    </r>
  </si>
  <si>
    <r>
      <t>&gt; 13 кг/см</t>
    </r>
    <r>
      <rPr>
        <vertAlign val="superscript"/>
        <sz val="11"/>
        <rFont val="Times New Roman"/>
        <family val="1"/>
      </rPr>
      <t>2</t>
    </r>
  </si>
  <si>
    <t>_____*_Базовый период - год, предшествующий расчетному периоду регулирования.</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</si>
</sst>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
    <numFmt numFmtId="169" formatCode="0.000"/>
    <numFmt numFmtId="170" formatCode="0.0"/>
    <numFmt numFmtId="171" formatCode="0.00000"/>
    <numFmt numFmtId="172" formatCode="0.0000000"/>
    <numFmt numFmtId="173" formatCode="0.000000"/>
    <numFmt numFmtId="174" formatCode="_-* #,##0.0_р_._-;\-* #,##0.0_р_._-;_-* &quot;-&quot;??_р_._-;_-@_-"/>
    <numFmt numFmtId="175" formatCode="_-* #,##0_р_._-;\-* #,##0_р_._-;_-* &quot;-&quot;??_р_._-;_-@_-"/>
    <numFmt numFmtId="176" formatCode="_-* #,##0.000_р_._-;\-* #,##0.000_р_._-;_-* &quot;-&quot;??_р_._-;_-@_-"/>
    <numFmt numFmtId="177" formatCode="_-* #,##0.0000_р_._-;\-* #,##0.0000_р_._-;_-* &quot;-&quot;??_р_._-;_-@_-"/>
    <numFmt numFmtId="178" formatCode="_-* #,##0.0_р_._-;\-* #,##0.0_р_._-;_-* &quot;-&quot;?_р_._-;_-@_-"/>
    <numFmt numFmtId="179" formatCode="#,##0.00000"/>
    <numFmt numFmtId="180" formatCode="#,##0.0000"/>
    <numFmt numFmtId="181" formatCode="#,##0.000"/>
    <numFmt numFmtId="182" formatCode="0.0%"/>
    <numFmt numFmtId="183" formatCode="_-* #,##0.000_р_._-;\-* #,##0.000_р_._-;_-* &quot;-&quot;???_р_._-;_-@_-"/>
  </numFmts>
  <fonts count="44">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u val="single"/>
      <sz val="10"/>
      <color indexed="12"/>
      <name val="Arial Cyr"/>
      <family val="0"/>
    </font>
    <font>
      <u val="single"/>
      <sz val="10"/>
      <color indexed="36"/>
      <name val="Arial Cyr"/>
      <family val="0"/>
    </font>
    <font>
      <b/>
      <sz val="12"/>
      <name val="Times New Roman"/>
      <family val="1"/>
    </font>
    <font>
      <b/>
      <vertAlign val="superscript"/>
      <sz val="12"/>
      <name val="Times New Roman"/>
      <family val="1"/>
    </font>
    <font>
      <sz val="8"/>
      <name val="Tahoma"/>
      <family val="0"/>
    </font>
    <font>
      <b/>
      <sz val="8"/>
      <name val="Tahoma"/>
      <family val="0"/>
    </font>
    <font>
      <sz val="10"/>
      <name val="Helv"/>
      <family val="0"/>
    </font>
    <font>
      <sz val="12"/>
      <color indexed="12"/>
      <name val="Times New Roman"/>
      <family val="1"/>
    </font>
    <font>
      <sz val="11"/>
      <color indexed="12"/>
      <name val="Times New Roman"/>
      <family val="1"/>
    </font>
    <font>
      <sz val="12"/>
      <color indexed="17"/>
      <name val="Times New Roman"/>
      <family val="1"/>
    </font>
    <font>
      <sz val="11"/>
      <color indexed="17"/>
      <name val="Times New Roman"/>
      <family val="1"/>
    </font>
    <font>
      <sz val="11"/>
      <color indexed="10"/>
      <name val="Times New Roman"/>
      <family val="1"/>
    </font>
    <font>
      <i/>
      <sz val="11"/>
      <name val="Times New Roman"/>
      <family val="1"/>
    </font>
    <font>
      <vertAlign val="superscript"/>
      <sz val="11"/>
      <name val="Times New Roman"/>
      <family val="1"/>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3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35" fillId="0" borderId="0">
      <alignment/>
      <protection/>
    </xf>
    <xf numFmtId="0" fontId="9" fillId="0" borderId="0">
      <alignment/>
      <protection/>
    </xf>
    <xf numFmtId="0" fontId="30"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189">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xf>
    <xf numFmtId="0" fontId="3" fillId="0" borderId="0" xfId="0" applyFont="1" applyAlignment="1">
      <alignment horizontal="left" indent="15"/>
    </xf>
    <xf numFmtId="0" fontId="3" fillId="0" borderId="0" xfId="0" applyFont="1" applyAlignment="1">
      <alignment horizontal="justify"/>
    </xf>
    <xf numFmtId="0" fontId="7" fillId="0" borderId="0" xfId="0" applyFont="1" applyAlignment="1">
      <alignment/>
    </xf>
    <xf numFmtId="0" fontId="26" fillId="0" borderId="10" xfId="54" applyFont="1" applyBorder="1" applyAlignment="1">
      <alignment horizontal="center" vertical="center" wrapText="1"/>
      <protection/>
    </xf>
    <xf numFmtId="0" fontId="27" fillId="0" borderId="0" xfId="0" applyFont="1" applyAlignment="1">
      <alignment horizontal="center" vertical="center" wrapText="1"/>
    </xf>
    <xf numFmtId="0" fontId="27" fillId="0" borderId="0" xfId="0" applyFont="1" applyAlignment="1">
      <alignment vertical="top"/>
    </xf>
    <xf numFmtId="0" fontId="7" fillId="0" borderId="0" xfId="0" applyFont="1" applyAlignment="1">
      <alignment horizontal="center"/>
    </xf>
    <xf numFmtId="0" fontId="7" fillId="0" borderId="0" xfId="0" applyFont="1" applyAlignment="1">
      <alignment horizontal="left"/>
    </xf>
    <xf numFmtId="0" fontId="1" fillId="0" borderId="10" xfId="0" applyFont="1" applyBorder="1" applyAlignment="1">
      <alignment horizontal="center" vertical="center" wrapText="1"/>
    </xf>
    <xf numFmtId="0" fontId="27" fillId="0" borderId="10" xfId="0" applyFont="1" applyBorder="1" applyAlignment="1">
      <alignment vertical="top"/>
    </xf>
    <xf numFmtId="2" fontId="27" fillId="0" borderId="10" xfId="0" applyNumberFormat="1" applyFont="1" applyBorder="1" applyAlignment="1">
      <alignment vertical="top"/>
    </xf>
    <xf numFmtId="0" fontId="27" fillId="0" borderId="10" xfId="0" applyFont="1" applyBorder="1" applyAlignment="1">
      <alignment horizontal="center" vertical="center" wrapText="1"/>
    </xf>
    <xf numFmtId="175" fontId="27" fillId="0" borderId="10" xfId="62" applyNumberFormat="1" applyFont="1" applyBorder="1" applyAlignment="1">
      <alignment vertical="top"/>
    </xf>
    <xf numFmtId="175" fontId="27" fillId="22" borderId="10" xfId="62" applyNumberFormat="1" applyFont="1" applyFill="1" applyBorder="1" applyAlignment="1">
      <alignment horizontal="center" vertical="top"/>
    </xf>
    <xf numFmtId="175" fontId="27" fillId="4" borderId="10" xfId="62" applyNumberFormat="1" applyFont="1" applyFill="1" applyBorder="1" applyAlignment="1">
      <alignment vertical="top"/>
    </xf>
    <xf numFmtId="43" fontId="27" fillId="0" borderId="10" xfId="0" applyNumberFormat="1" applyFont="1" applyBorder="1" applyAlignment="1">
      <alignment vertical="top"/>
    </xf>
    <xf numFmtId="175" fontId="27" fillId="0" borderId="10" xfId="0" applyNumberFormat="1" applyFont="1" applyBorder="1" applyAlignment="1">
      <alignment vertical="top"/>
    </xf>
    <xf numFmtId="177" fontId="27" fillId="0" borderId="10" xfId="0" applyNumberFormat="1" applyFont="1" applyBorder="1" applyAlignment="1">
      <alignment vertical="top"/>
    </xf>
    <xf numFmtId="43" fontId="27" fillId="4" borderId="10" xfId="62" applyNumberFormat="1" applyFont="1" applyFill="1" applyBorder="1" applyAlignment="1">
      <alignment vertical="top"/>
    </xf>
    <xf numFmtId="0" fontId="1" fillId="0" borderId="11" xfId="0" applyFont="1" applyBorder="1" applyAlignment="1">
      <alignment horizontal="center" vertical="center" wrapText="1"/>
    </xf>
    <xf numFmtId="0" fontId="1" fillId="0" borderId="0" xfId="0" applyFont="1" applyAlignment="1">
      <alignment vertical="center"/>
    </xf>
    <xf numFmtId="0" fontId="3" fillId="0" borderId="0" xfId="0" applyFont="1" applyAlignment="1">
      <alignment vertical="center" wrapText="1"/>
    </xf>
    <xf numFmtId="0" fontId="1" fillId="0" borderId="0" xfId="0" applyFont="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1" fontId="1" fillId="0" borderId="10" xfId="0" applyNumberFormat="1" applyFont="1" applyBorder="1" applyAlignment="1">
      <alignment horizontal="center" vertical="center"/>
    </xf>
    <xf numFmtId="1" fontId="1" fillId="0" borderId="11" xfId="0" applyNumberFormat="1" applyFont="1" applyBorder="1" applyAlignment="1">
      <alignment horizontal="center" vertical="center"/>
    </xf>
    <xf numFmtId="2" fontId="1" fillId="4" borderId="10" xfId="0" applyNumberFormat="1" applyFont="1" applyFill="1" applyBorder="1" applyAlignment="1">
      <alignment horizontal="center" vertical="center"/>
    </xf>
    <xf numFmtId="0" fontId="1" fillId="4" borderId="10" xfId="0" applyFont="1" applyFill="1" applyBorder="1" applyAlignment="1">
      <alignment horizontal="center" vertical="center"/>
    </xf>
    <xf numFmtId="1" fontId="1" fillId="4" borderId="10" xfId="0" applyNumberFormat="1" applyFont="1" applyFill="1" applyBorder="1" applyAlignment="1">
      <alignment horizontal="center" vertical="center"/>
    </xf>
    <xf numFmtId="1" fontId="1" fillId="4" borderId="11" xfId="0" applyNumberFormat="1" applyFont="1" applyFill="1" applyBorder="1" applyAlignment="1">
      <alignment horizontal="center" vertical="center"/>
    </xf>
    <xf numFmtId="9" fontId="1" fillId="24" borderId="10" xfId="59" applyFont="1" applyFill="1" applyBorder="1" applyAlignment="1">
      <alignment horizontal="center" vertical="center"/>
    </xf>
    <xf numFmtId="9" fontId="1" fillId="24" borderId="11" xfId="59" applyFont="1" applyFill="1" applyBorder="1" applyAlignment="1">
      <alignment horizontal="center" vertical="center"/>
    </xf>
    <xf numFmtId="9" fontId="1" fillId="0" borderId="11" xfId="59" applyFont="1" applyFill="1" applyBorder="1" applyAlignment="1">
      <alignment horizontal="center" vertical="center"/>
    </xf>
    <xf numFmtId="0" fontId="1" fillId="24" borderId="10" xfId="0" applyFont="1" applyFill="1" applyBorder="1" applyAlignment="1">
      <alignment horizontal="center" vertical="center"/>
    </xf>
    <xf numFmtId="0" fontId="1" fillId="24" borderId="11" xfId="0" applyFont="1" applyFill="1" applyBorder="1" applyAlignment="1">
      <alignment horizontal="center" vertical="center"/>
    </xf>
    <xf numFmtId="43" fontId="1" fillId="0" borderId="10" xfId="0" applyNumberFormat="1" applyFont="1" applyBorder="1" applyAlignment="1">
      <alignment horizontal="center" vertical="center"/>
    </xf>
    <xf numFmtId="0" fontId="1" fillId="4" borderId="11" xfId="0" applyFont="1" applyFill="1" applyBorder="1" applyAlignment="1">
      <alignment horizontal="center" vertical="center"/>
    </xf>
    <xf numFmtId="169" fontId="1" fillId="0" borderId="10" xfId="0" applyNumberFormat="1" applyFont="1" applyFill="1" applyBorder="1" applyAlignment="1">
      <alignment horizontal="center" vertical="center"/>
    </xf>
    <xf numFmtId="169" fontId="1" fillId="0" borderId="11" xfId="0" applyNumberFormat="1" applyFont="1" applyFill="1" applyBorder="1" applyAlignment="1">
      <alignment horizontal="center" vertical="center"/>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1" fontId="1" fillId="0" borderId="10" xfId="0" applyNumberFormat="1" applyFont="1" applyFill="1" applyBorder="1" applyAlignment="1">
      <alignment horizontal="center" vertical="center"/>
    </xf>
    <xf numFmtId="1" fontId="1" fillId="0" borderId="11" xfId="0" applyNumberFormat="1" applyFont="1" applyFill="1" applyBorder="1" applyAlignment="1">
      <alignment horizontal="center" vertical="center"/>
    </xf>
    <xf numFmtId="0" fontId="31" fillId="0" borderId="10" xfId="0" applyFont="1" applyBorder="1" applyAlignment="1">
      <alignment horizontal="left" vertical="center" wrapText="1"/>
    </xf>
    <xf numFmtId="0" fontId="1" fillId="0" borderId="10" xfId="0" applyNumberFormat="1" applyFont="1" applyBorder="1" applyAlignment="1">
      <alignment horizontal="left" vertical="center" wrapText="1"/>
    </xf>
    <xf numFmtId="1" fontId="1" fillId="25" borderId="10" xfId="0" applyNumberFormat="1" applyFont="1" applyFill="1" applyBorder="1" applyAlignment="1">
      <alignment horizontal="center" vertical="center"/>
    </xf>
    <xf numFmtId="1" fontId="1" fillId="25" borderId="11" xfId="0" applyNumberFormat="1" applyFont="1" applyFill="1" applyBorder="1" applyAlignment="1">
      <alignment horizontal="center" vertical="center"/>
    </xf>
    <xf numFmtId="0" fontId="1" fillId="0" borderId="11" xfId="0" applyFont="1" applyBorder="1" applyAlignment="1">
      <alignment horizontal="justify" vertical="center"/>
    </xf>
    <xf numFmtId="0" fontId="4" fillId="0" borderId="10" xfId="0" applyFont="1" applyBorder="1" applyAlignment="1">
      <alignment horizontal="left" vertical="center" wrapText="1"/>
    </xf>
    <xf numFmtId="170" fontId="1" fillId="4" borderId="10" xfId="0" applyNumberFormat="1" applyFont="1" applyFill="1" applyBorder="1" applyAlignment="1">
      <alignment horizontal="center" vertical="center"/>
    </xf>
    <xf numFmtId="170" fontId="1" fillId="4" borderId="11" xfId="0" applyNumberFormat="1" applyFont="1" applyFill="1" applyBorder="1" applyAlignment="1">
      <alignment horizontal="center" vertical="center"/>
    </xf>
    <xf numFmtId="0" fontId="1" fillId="0" borderId="10" xfId="0" applyFont="1" applyBorder="1" applyAlignment="1">
      <alignment horizontal="justify" vertical="center"/>
    </xf>
    <xf numFmtId="0" fontId="5"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175" fontId="1" fillId="4" borderId="10" xfId="62" applyNumberFormat="1" applyFont="1" applyFill="1" applyBorder="1" applyAlignment="1">
      <alignment horizontal="center" vertical="center"/>
    </xf>
    <xf numFmtId="175" fontId="1" fillId="4" borderId="11" xfId="62" applyNumberFormat="1" applyFont="1" applyFill="1" applyBorder="1" applyAlignment="1">
      <alignment horizontal="center" vertical="center"/>
    </xf>
    <xf numFmtId="175" fontId="1" fillId="0" borderId="10" xfId="62" applyNumberFormat="1" applyFont="1" applyBorder="1" applyAlignment="1">
      <alignment horizontal="center" vertical="center"/>
    </xf>
    <xf numFmtId="175" fontId="1" fillId="0" borderId="11" xfId="62" applyNumberFormat="1" applyFont="1" applyBorder="1" applyAlignment="1">
      <alignment horizontal="center" vertical="center"/>
    </xf>
    <xf numFmtId="0" fontId="1" fillId="0" borderId="10" xfId="0" applyFont="1" applyBorder="1" applyAlignment="1">
      <alignment vertical="center"/>
    </xf>
    <xf numFmtId="170" fontId="1" fillId="0" borderId="10" xfId="0" applyNumberFormat="1" applyFont="1" applyBorder="1" applyAlignment="1">
      <alignment horizontal="center" vertical="center"/>
    </xf>
    <xf numFmtId="9" fontId="1" fillId="0" borderId="10" xfId="59" applyFont="1" applyFill="1" applyBorder="1" applyAlignment="1">
      <alignment horizontal="center" vertical="center"/>
    </xf>
    <xf numFmtId="2" fontId="1" fillId="4" borderId="11" xfId="0" applyNumberFormat="1" applyFont="1" applyFill="1" applyBorder="1" applyAlignment="1">
      <alignment horizontal="center" vertical="center"/>
    </xf>
    <xf numFmtId="0" fontId="3" fillId="0" borderId="10" xfId="0" applyFont="1" applyBorder="1" applyAlignment="1">
      <alignment vertical="center"/>
    </xf>
    <xf numFmtId="4" fontId="1" fillId="0" borderId="10"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1" fillId="4" borderId="10" xfId="0" applyNumberFormat="1" applyFont="1" applyFill="1" applyBorder="1" applyAlignment="1">
      <alignment horizontal="center" vertical="center"/>
    </xf>
    <xf numFmtId="4" fontId="1" fillId="4" borderId="11" xfId="0" applyNumberFormat="1" applyFont="1" applyFill="1" applyBorder="1" applyAlignment="1">
      <alignment horizontal="center" vertical="center"/>
    </xf>
    <xf numFmtId="0" fontId="27" fillId="0" borderId="10" xfId="0" applyFont="1" applyBorder="1" applyAlignment="1">
      <alignment horizontal="center" vertical="center"/>
    </xf>
    <xf numFmtId="0" fontId="27" fillId="0" borderId="0" xfId="0" applyFont="1" applyAlignment="1">
      <alignment vertical="center"/>
    </xf>
    <xf numFmtId="0" fontId="27" fillId="0" borderId="10" xfId="0" applyFont="1" applyBorder="1" applyAlignment="1">
      <alignment vertical="center"/>
    </xf>
    <xf numFmtId="0" fontId="26" fillId="0" borderId="10" xfId="54" applyFont="1" applyBorder="1" applyAlignment="1">
      <alignment horizontal="left" vertical="center" wrapText="1"/>
      <protection/>
    </xf>
    <xf numFmtId="0" fontId="26" fillId="0" borderId="10" xfId="54" applyFont="1" applyBorder="1" applyAlignment="1">
      <alignment horizontal="center" vertical="center"/>
      <protection/>
    </xf>
    <xf numFmtId="0" fontId="26" fillId="0" borderId="0" xfId="54" applyFont="1" applyBorder="1" applyAlignment="1">
      <alignment horizontal="left" vertical="center" wrapText="1"/>
      <protection/>
    </xf>
    <xf numFmtId="43" fontId="27" fillId="0" borderId="10" xfId="0" applyNumberFormat="1" applyFont="1" applyBorder="1" applyAlignment="1">
      <alignment vertical="center"/>
    </xf>
    <xf numFmtId="175" fontId="26" fillId="0" borderId="10" xfId="54" applyNumberFormat="1" applyFont="1" applyBorder="1" applyAlignment="1">
      <alignment horizontal="center" vertical="center"/>
      <protection/>
    </xf>
    <xf numFmtId="2" fontId="26" fillId="0" borderId="10" xfId="54" applyNumberFormat="1" applyFont="1" applyBorder="1" applyAlignment="1">
      <alignment horizontal="center" vertical="center"/>
      <protection/>
    </xf>
    <xf numFmtId="43" fontId="26" fillId="0" borderId="10" xfId="54" applyNumberFormat="1" applyFont="1" applyFill="1" applyBorder="1" applyAlignment="1">
      <alignment horizontal="center" vertical="center"/>
      <protection/>
    </xf>
    <xf numFmtId="43" fontId="26" fillId="25" borderId="10" xfId="54" applyNumberFormat="1" applyFont="1" applyFill="1" applyBorder="1" applyAlignment="1">
      <alignment horizontal="center" vertical="center"/>
      <protection/>
    </xf>
    <xf numFmtId="175" fontId="26" fillId="0" borderId="10" xfId="62" applyNumberFormat="1" applyFont="1" applyBorder="1" applyAlignment="1">
      <alignment horizontal="center" vertical="center"/>
    </xf>
    <xf numFmtId="43" fontId="26" fillId="4" borderId="10" xfId="54" applyNumberFormat="1" applyFont="1" applyFill="1" applyBorder="1" applyAlignment="1">
      <alignment horizontal="center" vertical="center"/>
      <protection/>
    </xf>
    <xf numFmtId="43" fontId="26" fillId="4" borderId="10" xfId="62" applyNumberFormat="1" applyFont="1" applyFill="1" applyBorder="1" applyAlignment="1">
      <alignment horizontal="center" vertical="center"/>
    </xf>
    <xf numFmtId="2" fontId="26" fillId="25" borderId="10" xfId="54" applyNumberFormat="1" applyFont="1" applyFill="1" applyBorder="1" applyAlignment="1">
      <alignment horizontal="center" vertical="center"/>
      <protection/>
    </xf>
    <xf numFmtId="43" fontId="26" fillId="0" borderId="10" xfId="62" applyNumberFormat="1" applyFont="1" applyBorder="1" applyAlignment="1">
      <alignment horizontal="center" vertical="center"/>
    </xf>
    <xf numFmtId="175" fontId="26" fillId="4" borderId="10" xfId="62" applyNumberFormat="1" applyFont="1" applyFill="1" applyBorder="1" applyAlignment="1">
      <alignment horizontal="center" vertical="center"/>
    </xf>
    <xf numFmtId="175" fontId="26" fillId="0" borderId="10" xfId="62" applyNumberFormat="1" applyFont="1" applyFill="1" applyBorder="1" applyAlignment="1">
      <alignment horizontal="center" vertical="center"/>
    </xf>
    <xf numFmtId="175" fontId="27" fillId="0" borderId="10" xfId="62" applyNumberFormat="1" applyFont="1" applyFill="1" applyBorder="1" applyAlignment="1">
      <alignment horizontal="center" vertical="center"/>
    </xf>
    <xf numFmtId="0" fontId="26" fillId="4" borderId="10" xfId="54" applyFont="1" applyFill="1" applyBorder="1" applyAlignment="1">
      <alignment horizontal="center" vertical="center"/>
      <protection/>
    </xf>
    <xf numFmtId="2" fontId="26" fillId="4" borderId="10" xfId="54" applyNumberFormat="1" applyFont="1" applyFill="1" applyBorder="1" applyAlignment="1">
      <alignment horizontal="center" vertical="center"/>
      <protection/>
    </xf>
    <xf numFmtId="168" fontId="26" fillId="25" borderId="10" xfId="54" applyNumberFormat="1" applyFont="1" applyFill="1" applyBorder="1" applyAlignment="1">
      <alignment horizontal="center" vertical="center"/>
      <protection/>
    </xf>
    <xf numFmtId="2" fontId="26" fillId="0" borderId="10" xfId="54" applyNumberFormat="1" applyFont="1" applyFill="1" applyBorder="1" applyAlignment="1">
      <alignment horizontal="center" vertical="center"/>
      <protection/>
    </xf>
    <xf numFmtId="0" fontId="26" fillId="25" borderId="10" xfId="54" applyFont="1" applyFill="1" applyBorder="1" applyAlignment="1">
      <alignment horizontal="center" vertical="center"/>
      <protection/>
    </xf>
    <xf numFmtId="9" fontId="26" fillId="4" borderId="10" xfId="59" applyFont="1" applyFill="1" applyBorder="1" applyAlignment="1">
      <alignment horizontal="center" vertical="center"/>
    </xf>
    <xf numFmtId="9" fontId="26" fillId="25" borderId="10" xfId="59" applyFont="1" applyFill="1" applyBorder="1" applyAlignment="1">
      <alignment horizontal="center" vertical="center"/>
    </xf>
    <xf numFmtId="4" fontId="27" fillId="0" borderId="10" xfId="0" applyNumberFormat="1" applyFont="1" applyFill="1" applyBorder="1" applyAlignment="1" applyProtection="1">
      <alignment vertical="center"/>
      <protection/>
    </xf>
    <xf numFmtId="4" fontId="27" fillId="4" borderId="10" xfId="0" applyNumberFormat="1" applyFont="1" applyFill="1" applyBorder="1" applyAlignment="1" applyProtection="1">
      <alignment vertical="center"/>
      <protection/>
    </xf>
    <xf numFmtId="43" fontId="26" fillId="0" borderId="10" xfId="54" applyNumberFormat="1" applyFont="1" applyBorder="1" applyAlignment="1">
      <alignment horizontal="center" vertical="center"/>
      <protection/>
    </xf>
    <xf numFmtId="43" fontId="27" fillId="0" borderId="10" xfId="0" applyNumberFormat="1" applyFont="1" applyBorder="1" applyAlignment="1">
      <alignment horizontal="center" vertical="center"/>
    </xf>
    <xf numFmtId="4" fontId="26" fillId="25" borderId="10" xfId="54" applyNumberFormat="1" applyFont="1" applyFill="1" applyBorder="1" applyAlignment="1">
      <alignment horizontal="center" vertical="center"/>
      <protection/>
    </xf>
    <xf numFmtId="175" fontId="27" fillId="0" borderId="10" xfId="0" applyNumberFormat="1" applyFont="1" applyBorder="1" applyAlignment="1">
      <alignment horizontal="center" vertical="center"/>
    </xf>
    <xf numFmtId="2" fontId="27" fillId="0" borderId="10" xfId="0" applyNumberFormat="1" applyFont="1" applyBorder="1" applyAlignment="1">
      <alignment horizontal="center" vertical="center"/>
    </xf>
    <xf numFmtId="43" fontId="27" fillId="0" borderId="10" xfId="62" applyNumberFormat="1" applyFont="1" applyBorder="1" applyAlignment="1">
      <alignment horizontal="center" vertical="center"/>
    </xf>
    <xf numFmtId="43" fontId="27" fillId="0" borderId="10" xfId="62" applyNumberFormat="1" applyFont="1" applyFill="1" applyBorder="1" applyAlignment="1">
      <alignment horizontal="center" vertical="center"/>
    </xf>
    <xf numFmtId="175" fontId="27" fillId="0" borderId="10" xfId="62" applyNumberFormat="1" applyFont="1" applyBorder="1" applyAlignment="1">
      <alignment horizontal="center" vertical="center"/>
    </xf>
    <xf numFmtId="0" fontId="1" fillId="0" borderId="0" xfId="0" applyFont="1" applyBorder="1" applyAlignment="1">
      <alignment vertical="center"/>
    </xf>
    <xf numFmtId="2" fontId="1" fillId="7" borderId="10" xfId="0" applyNumberFormat="1" applyFont="1" applyFill="1" applyBorder="1" applyAlignment="1">
      <alignment horizontal="center" vertical="center"/>
    </xf>
    <xf numFmtId="0" fontId="1" fillId="7" borderId="10" xfId="0" applyFont="1" applyFill="1" applyBorder="1" applyAlignment="1">
      <alignment horizontal="center" vertical="center"/>
    </xf>
    <xf numFmtId="0" fontId="3" fillId="0" borderId="0" xfId="0" applyFont="1" applyBorder="1" applyAlignment="1">
      <alignment horizontal="center" vertical="center"/>
    </xf>
    <xf numFmtId="1" fontId="1" fillId="7" borderId="10" xfId="0"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center" vertical="center"/>
    </xf>
    <xf numFmtId="0" fontId="37" fillId="0" borderId="10" xfId="54" applyFont="1" applyBorder="1" applyAlignment="1">
      <alignment horizontal="center" vertical="center" wrapText="1"/>
      <protection/>
    </xf>
    <xf numFmtId="2" fontId="1" fillId="4" borderId="10" xfId="54" applyNumberFormat="1" applyFont="1" applyFill="1" applyBorder="1" applyAlignment="1">
      <alignment horizontal="center" vertical="top"/>
      <protection/>
    </xf>
    <xf numFmtId="2" fontId="1" fillId="25" borderId="10" xfId="54" applyNumberFormat="1" applyFont="1" applyFill="1" applyBorder="1" applyAlignment="1">
      <alignment horizontal="center" vertical="top"/>
      <protection/>
    </xf>
    <xf numFmtId="0" fontId="1" fillId="4" borderId="10" xfId="54" applyFont="1" applyFill="1" applyBorder="1" applyAlignment="1">
      <alignment horizontal="center" vertical="top"/>
      <protection/>
    </xf>
    <xf numFmtId="0" fontId="1" fillId="25" borderId="10" xfId="54" applyFont="1" applyFill="1" applyBorder="1" applyAlignment="1">
      <alignment horizontal="center" vertical="top"/>
      <protection/>
    </xf>
    <xf numFmtId="9" fontId="1" fillId="4" borderId="10" xfId="59" applyFont="1" applyFill="1" applyBorder="1" applyAlignment="1">
      <alignment horizontal="center" vertical="top"/>
    </xf>
    <xf numFmtId="9" fontId="1" fillId="25" borderId="10" xfId="59" applyFont="1" applyFill="1" applyBorder="1" applyAlignment="1">
      <alignment horizontal="center" vertical="top"/>
    </xf>
    <xf numFmtId="175" fontId="40" fillId="0" borderId="10" xfId="62" applyNumberFormat="1" applyFont="1" applyBorder="1" applyAlignment="1">
      <alignment horizontal="center" vertical="center"/>
    </xf>
    <xf numFmtId="43" fontId="40" fillId="0" borderId="10" xfId="62" applyNumberFormat="1" applyFont="1" applyBorder="1" applyAlignment="1">
      <alignment horizontal="center" vertical="center"/>
    </xf>
    <xf numFmtId="175" fontId="40" fillId="0" borderId="10" xfId="62" applyNumberFormat="1" applyFont="1" applyBorder="1" applyAlignment="1">
      <alignment horizontal="center" vertical="center"/>
    </xf>
    <xf numFmtId="2" fontId="36" fillId="4" borderId="10" xfId="54" applyNumberFormat="1" applyFont="1" applyFill="1" applyBorder="1" applyAlignment="1">
      <alignment horizontal="center" vertical="top"/>
      <protection/>
    </xf>
    <xf numFmtId="2" fontId="36" fillId="25" borderId="10" xfId="54" applyNumberFormat="1" applyFont="1" applyFill="1" applyBorder="1" applyAlignment="1">
      <alignment horizontal="center" vertical="top"/>
      <protection/>
    </xf>
    <xf numFmtId="9" fontId="36" fillId="4" borderId="10" xfId="59" applyFont="1" applyFill="1" applyBorder="1" applyAlignment="1">
      <alignment horizontal="center" vertical="top"/>
    </xf>
    <xf numFmtId="182" fontId="36" fillId="4" borderId="10" xfId="59" applyNumberFormat="1" applyFont="1" applyFill="1" applyBorder="1" applyAlignment="1">
      <alignment horizontal="center" vertical="top"/>
    </xf>
    <xf numFmtId="43" fontId="39" fillId="4" borderId="10" xfId="62" applyNumberFormat="1" applyFont="1" applyFill="1" applyBorder="1" applyAlignment="1">
      <alignment horizontal="center" vertical="center"/>
    </xf>
    <xf numFmtId="2" fontId="39" fillId="25" borderId="10" xfId="54" applyNumberFormat="1" applyFont="1" applyFill="1" applyBorder="1" applyAlignment="1">
      <alignment horizontal="center" vertical="center"/>
      <protection/>
    </xf>
    <xf numFmtId="43" fontId="39" fillId="0" borderId="10" xfId="62" applyNumberFormat="1" applyFont="1" applyBorder="1" applyAlignment="1">
      <alignment horizontal="center" vertical="center"/>
    </xf>
    <xf numFmtId="175" fontId="39" fillId="0" borderId="10" xfId="62" applyNumberFormat="1" applyFont="1" applyBorder="1" applyAlignment="1">
      <alignment horizontal="center" vertical="center"/>
    </xf>
    <xf numFmtId="175" fontId="39" fillId="4" borderId="10" xfId="62" applyNumberFormat="1" applyFont="1" applyFill="1" applyBorder="1" applyAlignment="1">
      <alignment horizontal="center" vertical="center"/>
    </xf>
    <xf numFmtId="175" fontId="39" fillId="0" borderId="10" xfId="62" applyNumberFormat="1" applyFont="1" applyFill="1" applyBorder="1" applyAlignment="1">
      <alignment horizontal="center" vertical="center"/>
    </xf>
    <xf numFmtId="43" fontId="39" fillId="4" borderId="10" xfId="54" applyNumberFormat="1" applyFont="1" applyFill="1" applyBorder="1" applyAlignment="1">
      <alignment horizontal="center" vertical="center"/>
      <protection/>
    </xf>
    <xf numFmtId="4" fontId="39" fillId="4" borderId="10" xfId="0" applyNumberFormat="1" applyFont="1" applyFill="1" applyBorder="1" applyAlignment="1">
      <alignment horizontal="center" vertical="center"/>
    </xf>
    <xf numFmtId="4" fontId="39" fillId="0" borderId="10" xfId="0" applyNumberFormat="1" applyFont="1" applyBorder="1" applyAlignment="1">
      <alignment vertical="center"/>
    </xf>
    <xf numFmtId="2" fontId="38" fillId="0" borderId="10" xfId="54" applyNumberFormat="1" applyFont="1" applyFill="1" applyBorder="1" applyAlignment="1">
      <alignment horizontal="center" vertical="top"/>
      <protection/>
    </xf>
    <xf numFmtId="2" fontId="38" fillId="4" borderId="10" xfId="54" applyNumberFormat="1" applyFont="1" applyFill="1" applyBorder="1" applyAlignment="1">
      <alignment horizontal="center" vertical="top"/>
      <protection/>
    </xf>
    <xf numFmtId="4" fontId="39" fillId="0" borderId="10" xfId="0" applyNumberFormat="1" applyFont="1" applyBorder="1" applyAlignment="1">
      <alignment horizontal="center" vertical="center"/>
    </xf>
    <xf numFmtId="4" fontId="39" fillId="4" borderId="10" xfId="0" applyNumberFormat="1" applyFont="1" applyFill="1" applyBorder="1" applyAlignment="1">
      <alignment vertical="center"/>
    </xf>
    <xf numFmtId="182" fontId="38" fillId="4" borderId="10" xfId="59" applyNumberFormat="1" applyFont="1" applyFill="1" applyBorder="1" applyAlignment="1">
      <alignment horizontal="center" vertical="top"/>
    </xf>
    <xf numFmtId="9" fontId="38" fillId="4" borderId="10" xfId="59" applyFont="1" applyFill="1" applyBorder="1" applyAlignment="1">
      <alignment horizontal="center" vertical="top"/>
    </xf>
    <xf numFmtId="4" fontId="38" fillId="0" borderId="10" xfId="53" applyNumberFormat="1" applyFont="1" applyFill="1" applyBorder="1" applyAlignment="1" applyProtection="1">
      <alignment vertical="top"/>
      <protection/>
    </xf>
    <xf numFmtId="4" fontId="38" fillId="4" borderId="10" xfId="53" applyNumberFormat="1" applyFont="1" applyFill="1" applyBorder="1" applyAlignment="1" applyProtection="1">
      <alignment vertical="top"/>
      <protection/>
    </xf>
    <xf numFmtId="43" fontId="39" fillId="0" borderId="10" xfId="62" applyNumberFormat="1" applyFont="1" applyBorder="1" applyAlignment="1">
      <alignment horizontal="center" vertical="center"/>
    </xf>
    <xf numFmtId="43" fontId="39" fillId="0" borderId="10" xfId="54" applyNumberFormat="1" applyFont="1" applyFill="1" applyBorder="1" applyAlignment="1">
      <alignment horizontal="center" vertical="center"/>
      <protection/>
    </xf>
    <xf numFmtId="175" fontId="40" fillId="0" borderId="10" xfId="62" applyNumberFormat="1" applyFont="1" applyFill="1" applyBorder="1" applyAlignment="1">
      <alignment horizontal="center" vertical="center"/>
    </xf>
    <xf numFmtId="0" fontId="26" fillId="0" borderId="10" xfId="54" applyFont="1" applyBorder="1" applyAlignment="1">
      <alignment horizontal="center" vertical="center" wrapText="1"/>
      <protection/>
    </xf>
    <xf numFmtId="0" fontId="3" fillId="0" borderId="0" xfId="0" applyFont="1" applyAlignment="1">
      <alignment horizontal="left" vertical="center" wrapText="1"/>
    </xf>
    <xf numFmtId="0" fontId="7" fillId="0" borderId="0" xfId="0" applyFont="1" applyBorder="1" applyAlignment="1">
      <alignment horizontal="center" vertical="center" wrapText="1"/>
    </xf>
    <xf numFmtId="0" fontId="37" fillId="0" borderId="10" xfId="54" applyFont="1" applyBorder="1" applyAlignment="1">
      <alignment horizontal="center" vertical="center" wrapText="1"/>
      <protection/>
    </xf>
    <xf numFmtId="0" fontId="27" fillId="0" borderId="12" xfId="54" applyFont="1" applyBorder="1" applyAlignment="1">
      <alignment horizontal="center" vertical="center" wrapText="1"/>
      <protection/>
    </xf>
    <xf numFmtId="0" fontId="27" fillId="0" borderId="10" xfId="54" applyFont="1" applyBorder="1" applyAlignment="1">
      <alignment horizontal="center" vertical="center" wrapText="1"/>
      <protection/>
    </xf>
    <xf numFmtId="0" fontId="27" fillId="0" borderId="10" xfId="54" applyFont="1" applyBorder="1" applyAlignment="1">
      <alignment horizontal="center" vertical="top" wrapText="1"/>
      <protection/>
    </xf>
    <xf numFmtId="0" fontId="27" fillId="0" borderId="10" xfId="54" applyFont="1" applyBorder="1" applyAlignment="1">
      <alignment horizontal="left" vertical="top" wrapText="1"/>
      <protection/>
    </xf>
    <xf numFmtId="0" fontId="27" fillId="0" borderId="10" xfId="54" applyFont="1" applyBorder="1" applyAlignment="1">
      <alignment horizontal="center" vertical="top"/>
      <protection/>
    </xf>
    <xf numFmtId="0" fontId="27" fillId="0" borderId="0" xfId="54" applyFont="1" applyBorder="1" applyAlignment="1">
      <alignment horizontal="left" vertical="top" wrapText="1"/>
      <protection/>
    </xf>
    <xf numFmtId="43" fontId="27" fillId="4" borderId="10" xfId="54" applyNumberFormat="1" applyFont="1" applyFill="1" applyBorder="1" applyAlignment="1">
      <alignment horizontal="center" vertical="top"/>
      <protection/>
    </xf>
    <xf numFmtId="43" fontId="27" fillId="0" borderId="10" xfId="54" applyNumberFormat="1" applyFont="1" applyBorder="1" applyAlignment="1">
      <alignment horizontal="center" vertical="top"/>
      <protection/>
    </xf>
    <xf numFmtId="175" fontId="27" fillId="0" borderId="10" xfId="54" applyNumberFormat="1" applyFont="1" applyBorder="1" applyAlignment="1">
      <alignment horizontal="center" vertical="top"/>
      <protection/>
    </xf>
    <xf numFmtId="2" fontId="27" fillId="0" borderId="10" xfId="54" applyNumberFormat="1" applyFont="1" applyBorder="1" applyAlignment="1">
      <alignment horizontal="center" vertical="top"/>
      <protection/>
    </xf>
    <xf numFmtId="169" fontId="27" fillId="0" borderId="10" xfId="54" applyNumberFormat="1" applyFont="1" applyBorder="1" applyAlignment="1">
      <alignment horizontal="center" vertical="top"/>
      <protection/>
    </xf>
    <xf numFmtId="2" fontId="27" fillId="4" borderId="10" xfId="54" applyNumberFormat="1" applyFont="1" applyFill="1" applyBorder="1" applyAlignment="1">
      <alignment horizontal="center" vertical="top"/>
      <protection/>
    </xf>
    <xf numFmtId="169" fontId="27" fillId="4" borderId="10" xfId="54" applyNumberFormat="1" applyFont="1" applyFill="1" applyBorder="1" applyAlignment="1">
      <alignment horizontal="center" vertical="top"/>
      <protection/>
    </xf>
    <xf numFmtId="169" fontId="27" fillId="0" borderId="10" xfId="0" applyNumberFormat="1" applyFont="1" applyBorder="1" applyAlignment="1">
      <alignment vertical="top"/>
    </xf>
    <xf numFmtId="175" fontId="27" fillId="4" borderId="10" xfId="62" applyNumberFormat="1" applyFont="1" applyFill="1" applyBorder="1" applyAlignment="1">
      <alignment horizontal="center" vertical="top"/>
    </xf>
    <xf numFmtId="175" fontId="27" fillId="0" borderId="10" xfId="62" applyNumberFormat="1" applyFont="1" applyBorder="1" applyAlignment="1">
      <alignment horizontal="center" vertical="top"/>
    </xf>
    <xf numFmtId="0" fontId="41" fillId="0" borderId="10" xfId="54" applyFont="1" applyBorder="1" applyAlignment="1">
      <alignment horizontal="left" vertical="top" wrapText="1"/>
      <protection/>
    </xf>
    <xf numFmtId="175" fontId="41" fillId="4" borderId="10" xfId="62" applyNumberFormat="1" applyFont="1" applyFill="1" applyBorder="1" applyAlignment="1">
      <alignment horizontal="center" vertical="top"/>
    </xf>
    <xf numFmtId="175" fontId="41" fillId="0" borderId="10" xfId="62" applyNumberFormat="1" applyFont="1" applyBorder="1" applyAlignment="1">
      <alignment horizontal="center" vertical="top"/>
    </xf>
    <xf numFmtId="43" fontId="27" fillId="0" borderId="10" xfId="62" applyNumberFormat="1" applyFont="1" applyBorder="1" applyAlignment="1">
      <alignment horizontal="center" vertical="top"/>
    </xf>
    <xf numFmtId="43" fontId="27" fillId="4" borderId="10" xfId="62" applyNumberFormat="1" applyFont="1" applyFill="1" applyBorder="1" applyAlignment="1">
      <alignment horizontal="center" vertical="top"/>
    </xf>
    <xf numFmtId="175" fontId="27" fillId="0" borderId="10" xfId="62" applyNumberFormat="1" applyFont="1" applyFill="1" applyBorder="1" applyAlignment="1">
      <alignment horizontal="center" vertical="top"/>
    </xf>
    <xf numFmtId="170" fontId="27" fillId="0" borderId="10" xfId="54" applyNumberFormat="1" applyFont="1" applyBorder="1" applyAlignment="1">
      <alignment horizontal="center" vertical="top"/>
      <protection/>
    </xf>
    <xf numFmtId="0" fontId="7" fillId="0" borderId="0" xfId="0" applyFont="1" applyAlignment="1">
      <alignment horizontal="center"/>
    </xf>
    <xf numFmtId="0" fontId="7" fillId="0" borderId="0" xfId="0" applyFont="1" applyAlignment="1">
      <alignment horizontal="center" vertical="center" wrapText="1"/>
    </xf>
    <xf numFmtId="0" fontId="1" fillId="0" borderId="13" xfId="0" applyFont="1" applyBorder="1" applyAlignment="1">
      <alignment horizontal="center" vertical="center"/>
    </xf>
    <xf numFmtId="0" fontId="26" fillId="0" borderId="11" xfId="54" applyFont="1" applyBorder="1" applyAlignment="1">
      <alignment horizontal="center" vertical="center" wrapText="1"/>
      <protection/>
    </xf>
    <xf numFmtId="0" fontId="26" fillId="0" borderId="12" xfId="54" applyFont="1" applyBorder="1" applyAlignment="1">
      <alignment horizontal="center" vertical="center" wrapText="1"/>
      <protection/>
    </xf>
    <xf numFmtId="0" fontId="7" fillId="0" borderId="0" xfId="0" applyFont="1" applyAlignment="1">
      <alignment horizontal="center" wrapText="1"/>
    </xf>
    <xf numFmtId="0" fontId="3" fillId="0" borderId="0" xfId="0" applyFont="1" applyAlignment="1">
      <alignment horizontal="left" wrapText="1" indent="3"/>
    </xf>
    <xf numFmtId="0" fontId="27" fillId="0" borderId="12" xfId="54" applyFont="1" applyBorder="1" applyAlignment="1">
      <alignment horizontal="center" vertical="center" wrapText="1"/>
      <protection/>
    </xf>
    <xf numFmtId="0" fontId="27" fillId="0" borderId="10" xfId="54" applyFont="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3. Предложение_тарифов на услуги по передаче на 2015 год"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s@sever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5"/>
  <sheetViews>
    <sheetView tabSelected="1" workbookViewId="0" topLeftCell="A1">
      <selection activeCell="A35" sqref="A35"/>
    </sheetView>
  </sheetViews>
  <sheetFormatPr defaultColWidth="9.00390625" defaultRowHeight="12.75"/>
  <cols>
    <col min="1" max="1" width="33.875" style="3" customWidth="1"/>
    <col min="2" max="2" width="66.375" style="3" customWidth="1"/>
    <col min="3" max="3" width="24.375" style="3" customWidth="1"/>
    <col min="4" max="16384" width="9.125" style="3" customWidth="1"/>
  </cols>
  <sheetData>
    <row r="1" ht="12.75">
      <c r="C1" s="5" t="s">
        <v>88</v>
      </c>
    </row>
    <row r="2" ht="39.75" customHeight="1">
      <c r="C2" s="5" t="s">
        <v>76</v>
      </c>
    </row>
    <row r="3" ht="12.75">
      <c r="A3" s="4"/>
    </row>
    <row r="4" spans="1:3" ht="16.5">
      <c r="A4" s="180" t="s">
        <v>77</v>
      </c>
      <c r="B4" s="180"/>
      <c r="C4" s="180"/>
    </row>
    <row r="5" spans="1:3" ht="16.5">
      <c r="A5" s="10"/>
      <c r="B5" s="10"/>
      <c r="C5" s="10"/>
    </row>
    <row r="6" spans="1:3" ht="16.5">
      <c r="A6" s="6" t="s">
        <v>78</v>
      </c>
      <c r="B6" s="11" t="s">
        <v>143</v>
      </c>
      <c r="C6" s="6"/>
    </row>
    <row r="7" spans="1:3" ht="16.5">
      <c r="A7" s="6"/>
      <c r="B7" s="11"/>
      <c r="C7" s="6"/>
    </row>
    <row r="8" spans="1:3" ht="16.5">
      <c r="A8" s="6" t="s">
        <v>79</v>
      </c>
      <c r="B8" s="11" t="s">
        <v>144</v>
      </c>
      <c r="C8" s="6"/>
    </row>
    <row r="9" spans="1:3" ht="16.5">
      <c r="A9" s="6"/>
      <c r="B9" s="11"/>
      <c r="C9" s="6"/>
    </row>
    <row r="10" spans="1:3" ht="16.5">
      <c r="A10" s="6" t="s">
        <v>80</v>
      </c>
      <c r="B10" s="11" t="s">
        <v>145</v>
      </c>
      <c r="C10" s="6"/>
    </row>
    <row r="11" spans="1:3" ht="16.5">
      <c r="A11" s="6"/>
      <c r="B11" s="11"/>
      <c r="C11" s="6"/>
    </row>
    <row r="12" spans="1:3" ht="16.5">
      <c r="A12" s="6" t="s">
        <v>81</v>
      </c>
      <c r="B12" s="11" t="s">
        <v>145</v>
      </c>
      <c r="C12" s="6"/>
    </row>
    <row r="13" spans="1:3" ht="16.5">
      <c r="A13" s="6"/>
      <c r="B13" s="11"/>
      <c r="C13" s="6"/>
    </row>
    <row r="14" spans="1:3" ht="16.5">
      <c r="A14" s="6" t="s">
        <v>82</v>
      </c>
      <c r="B14" s="11">
        <v>7024035693</v>
      </c>
      <c r="C14" s="6"/>
    </row>
    <row r="15" spans="1:3" ht="16.5">
      <c r="A15" s="6"/>
      <c r="C15" s="6"/>
    </row>
    <row r="16" spans="1:3" ht="16.5">
      <c r="A16" s="6" t="s">
        <v>83</v>
      </c>
      <c r="B16" s="11">
        <v>702401001</v>
      </c>
      <c r="C16" s="6"/>
    </row>
    <row r="17" spans="1:3" ht="16.5">
      <c r="A17" s="6"/>
      <c r="B17" s="11"/>
      <c r="C17" s="6"/>
    </row>
    <row r="18" spans="1:3" ht="16.5">
      <c r="A18" s="6" t="s">
        <v>84</v>
      </c>
      <c r="B18" s="6" t="s">
        <v>146</v>
      </c>
      <c r="C18" s="6"/>
    </row>
    <row r="19" spans="1:3" ht="16.5">
      <c r="A19" s="6"/>
      <c r="B19" s="6"/>
      <c r="C19" s="6"/>
    </row>
    <row r="20" spans="1:3" ht="16.5">
      <c r="A20" s="6" t="s">
        <v>85</v>
      </c>
      <c r="B20" s="6" t="s">
        <v>148</v>
      </c>
      <c r="C20" s="6"/>
    </row>
    <row r="21" spans="1:3" ht="16.5">
      <c r="A21" s="6"/>
      <c r="B21" s="6"/>
      <c r="C21" s="6"/>
    </row>
    <row r="22" spans="1:3" ht="16.5">
      <c r="A22" s="6" t="s">
        <v>86</v>
      </c>
      <c r="B22" s="6" t="s">
        <v>147</v>
      </c>
      <c r="C22" s="6"/>
    </row>
    <row r="23" spans="1:3" ht="16.5">
      <c r="A23" s="6"/>
      <c r="B23" s="6"/>
      <c r="C23" s="6"/>
    </row>
    <row r="24" spans="1:3" ht="16.5">
      <c r="A24" s="6" t="s">
        <v>87</v>
      </c>
      <c r="B24" s="6" t="s">
        <v>147</v>
      </c>
      <c r="C24" s="6"/>
    </row>
    <row r="25" ht="15.75">
      <c r="A25" s="1"/>
    </row>
  </sheetData>
  <mergeCells count="1">
    <mergeCell ref="A4:C4"/>
  </mergeCells>
  <hyperlinks>
    <hyperlink ref="B20" r:id="rId1" display="ges@seversk.ru"/>
  </hyperlinks>
  <printOptions/>
  <pageMargins left="0.75" right="0.75" top="1" bottom="1" header="0.5" footer="0.5"/>
  <pageSetup horizontalDpi="600" verticalDpi="600" orientation="portrait" paperSize="9" scale="69" r:id="rId2"/>
</worksheet>
</file>

<file path=xl/worksheets/sheet2.xml><?xml version="1.0" encoding="utf-8"?>
<worksheet xmlns="http://schemas.openxmlformats.org/spreadsheetml/2006/main" xmlns:r="http://schemas.openxmlformats.org/officeDocument/2006/relationships">
  <dimension ref="A1:L60"/>
  <sheetViews>
    <sheetView view="pageBreakPreview" zoomScaleNormal="75" zoomScaleSheetLayoutView="100" workbookViewId="0" topLeftCell="A4">
      <pane xSplit="3" ySplit="5" topLeftCell="D9" activePane="bottomRight" state="frozen"/>
      <selection pane="topLeft" activeCell="A4" sqref="A4"/>
      <selection pane="topRight" activeCell="D4" sqref="D4"/>
      <selection pane="bottomLeft" activeCell="A9" sqref="A9"/>
      <selection pane="bottomRight" activeCell="O7" sqref="O7"/>
    </sheetView>
  </sheetViews>
  <sheetFormatPr defaultColWidth="9.00390625" defaultRowHeight="12.75" outlineLevelRow="1" outlineLevelCol="2"/>
  <cols>
    <col min="1" max="1" width="6.625" style="24" customWidth="1"/>
    <col min="2" max="2" width="31.00390625" style="24" customWidth="1"/>
    <col min="3" max="3" width="12.25390625" style="24" customWidth="1"/>
    <col min="4" max="6" width="25.125" style="24" hidden="1" customWidth="1" outlineLevel="2"/>
    <col min="7" max="7" width="25.125" style="26" hidden="1" customWidth="1" outlineLevel="1" collapsed="1"/>
    <col min="8" max="9" width="25.125" style="26" hidden="1" customWidth="1" outlineLevel="1"/>
    <col min="10" max="10" width="25.125" style="26" customWidth="1" collapsed="1"/>
    <col min="11" max="12" width="25.125" style="26" customWidth="1"/>
    <col min="13" max="16384" width="9.125" style="24" customWidth="1"/>
  </cols>
  <sheetData>
    <row r="1" ht="54" customHeight="1">
      <c r="F1" s="25" t="s">
        <v>57</v>
      </c>
    </row>
    <row r="2" ht="15.75"/>
    <row r="3" ht="15.75"/>
    <row r="4" spans="1:12" ht="35.25" customHeight="1">
      <c r="A4" s="181" t="s">
        <v>74</v>
      </c>
      <c r="B4" s="181"/>
      <c r="C4" s="181"/>
      <c r="D4" s="181"/>
      <c r="E4" s="181"/>
      <c r="F4" s="181"/>
      <c r="G4" s="181"/>
      <c r="H4" s="181"/>
      <c r="I4" s="181"/>
      <c r="J4" s="116"/>
      <c r="K4" s="116"/>
      <c r="L4" s="116"/>
    </row>
    <row r="5" spans="1:12" ht="19.5" customHeight="1">
      <c r="A5" s="182" t="s">
        <v>192</v>
      </c>
      <c r="B5" s="182"/>
      <c r="C5" s="182"/>
      <c r="D5" s="182"/>
      <c r="E5" s="182"/>
      <c r="F5" s="182"/>
      <c r="G5" s="182"/>
      <c r="H5" s="182"/>
      <c r="I5" s="182"/>
      <c r="J5" s="118"/>
      <c r="K5" s="118"/>
      <c r="L5" s="118"/>
    </row>
    <row r="6" ht="15.75"/>
    <row r="7" spans="1:12" s="2" customFormat="1" ht="53.25" customHeight="1">
      <c r="A7" s="12" t="s">
        <v>53</v>
      </c>
      <c r="B7" s="12" t="s">
        <v>0</v>
      </c>
      <c r="C7" s="12" t="s">
        <v>1</v>
      </c>
      <c r="D7" s="12" t="s">
        <v>56</v>
      </c>
      <c r="E7" s="12" t="s">
        <v>55</v>
      </c>
      <c r="F7" s="23" t="s">
        <v>54</v>
      </c>
      <c r="G7" s="12" t="s">
        <v>56</v>
      </c>
      <c r="H7" s="12" t="s">
        <v>55</v>
      </c>
      <c r="I7" s="12" t="s">
        <v>54</v>
      </c>
      <c r="J7" s="12" t="s">
        <v>56</v>
      </c>
      <c r="K7" s="12" t="s">
        <v>55</v>
      </c>
      <c r="L7" s="12" t="s">
        <v>54</v>
      </c>
    </row>
    <row r="8" spans="1:12" s="2" customFormat="1" ht="15.75" hidden="1" outlineLevel="1">
      <c r="A8" s="12"/>
      <c r="B8" s="12"/>
      <c r="C8" s="12"/>
      <c r="D8" s="12" t="s">
        <v>188</v>
      </c>
      <c r="E8" s="12" t="s">
        <v>189</v>
      </c>
      <c r="F8" s="23" t="s">
        <v>190</v>
      </c>
      <c r="G8" s="12" t="s">
        <v>189</v>
      </c>
      <c r="H8" s="12" t="s">
        <v>190</v>
      </c>
      <c r="I8" s="12" t="s">
        <v>191</v>
      </c>
      <c r="J8" s="12" t="s">
        <v>190</v>
      </c>
      <c r="K8" s="12" t="s">
        <v>191</v>
      </c>
      <c r="L8" s="12" t="s">
        <v>200</v>
      </c>
    </row>
    <row r="9" spans="1:12" ht="35.25" customHeight="1" collapsed="1">
      <c r="A9" s="12" t="s">
        <v>2</v>
      </c>
      <c r="B9" s="27" t="s">
        <v>3</v>
      </c>
      <c r="C9" s="12"/>
      <c r="D9" s="28"/>
      <c r="E9" s="28"/>
      <c r="F9" s="29"/>
      <c r="G9" s="28"/>
      <c r="H9" s="28"/>
      <c r="I9" s="28"/>
      <c r="J9" s="28"/>
      <c r="K9" s="28"/>
      <c r="L9" s="28"/>
    </row>
    <row r="10" spans="1:12" ht="28.5" customHeight="1">
      <c r="A10" s="12" t="s">
        <v>4</v>
      </c>
      <c r="B10" s="27" t="s">
        <v>5</v>
      </c>
      <c r="C10" s="12" t="s">
        <v>6</v>
      </c>
      <c r="D10" s="30">
        <f>D59+D37+D39</f>
        <v>184845.11884468998</v>
      </c>
      <c r="E10" s="30">
        <f>E59+E37+E39</f>
        <v>199022.52510199999</v>
      </c>
      <c r="F10" s="31">
        <f>F59+F37+F39</f>
        <v>224300.65539</v>
      </c>
      <c r="G10" s="28">
        <v>200692.1</v>
      </c>
      <c r="H10" s="28">
        <f>143899.04+46901.98+16697</f>
        <v>207498.02000000002</v>
      </c>
      <c r="I10" s="112">
        <f>H10*1.05</f>
        <v>217872.92100000003</v>
      </c>
      <c r="J10" s="30">
        <f>J59+J37+J39</f>
        <v>205479.98000000004</v>
      </c>
      <c r="K10" s="30">
        <f>K59+K37+K39</f>
        <v>230439.68</v>
      </c>
      <c r="L10" s="66">
        <v>304873.2</v>
      </c>
    </row>
    <row r="11" spans="1:12" ht="28.5" customHeight="1">
      <c r="A11" s="12" t="s">
        <v>7</v>
      </c>
      <c r="B11" s="27" t="s">
        <v>8</v>
      </c>
      <c r="C11" s="12" t="s">
        <v>6</v>
      </c>
      <c r="D11" s="30">
        <f>D58</f>
        <v>28519.59999999999</v>
      </c>
      <c r="E11" s="30">
        <f>E58</f>
        <v>5503</v>
      </c>
      <c r="F11" s="31">
        <f>F58</f>
        <v>33263</v>
      </c>
      <c r="G11" s="28">
        <v>47564</v>
      </c>
      <c r="H11" s="28">
        <v>29810.38</v>
      </c>
      <c r="I11" s="113">
        <v>29000</v>
      </c>
      <c r="J11" s="28">
        <v>32892</v>
      </c>
      <c r="K11" s="30">
        <v>30504.38</v>
      </c>
      <c r="L11" s="113">
        <f>L58</f>
        <v>35264.25</v>
      </c>
    </row>
    <row r="12" spans="1:12" ht="59.25" customHeight="1">
      <c r="A12" s="12" t="s">
        <v>9</v>
      </c>
      <c r="B12" s="27" t="s">
        <v>10</v>
      </c>
      <c r="C12" s="12" t="s">
        <v>6</v>
      </c>
      <c r="D12" s="30">
        <f aca="true" t="shared" si="0" ref="D12:I12">D11+D34</f>
        <v>33288.59999999999</v>
      </c>
      <c r="E12" s="30">
        <f t="shared" si="0"/>
        <v>9944</v>
      </c>
      <c r="F12" s="31">
        <f t="shared" si="0"/>
        <v>41862</v>
      </c>
      <c r="G12" s="31">
        <f t="shared" si="0"/>
        <v>51889</v>
      </c>
      <c r="H12" s="31">
        <f t="shared" si="0"/>
        <v>35321.18</v>
      </c>
      <c r="I12" s="30">
        <f t="shared" si="0"/>
        <v>34510</v>
      </c>
      <c r="J12" s="31">
        <f>J11+J34</f>
        <v>38782.6</v>
      </c>
      <c r="K12" s="31">
        <f>K11+K34</f>
        <v>40969.21</v>
      </c>
      <c r="L12" s="30">
        <f>L11+L34</f>
        <v>41448.85</v>
      </c>
    </row>
    <row r="13" spans="1:12" ht="27.75" customHeight="1">
      <c r="A13" s="12" t="s">
        <v>11</v>
      </c>
      <c r="B13" s="27" t="s">
        <v>12</v>
      </c>
      <c r="C13" s="12" t="s">
        <v>6</v>
      </c>
      <c r="D13" s="34">
        <v>10905.834051724138</v>
      </c>
      <c r="E13" s="33">
        <v>0</v>
      </c>
      <c r="F13" s="35">
        <v>17295.69331225746</v>
      </c>
      <c r="G13" s="33">
        <v>28241</v>
      </c>
      <c r="H13" s="113">
        <f>H11-(G11-G13)</f>
        <v>10487.380000000001</v>
      </c>
      <c r="I13" s="113">
        <f>I11-(H11-H13)</f>
        <v>9677</v>
      </c>
      <c r="J13" s="33">
        <v>13512</v>
      </c>
      <c r="K13" s="113">
        <f>K11-(J11-J13)</f>
        <v>11124.380000000001</v>
      </c>
      <c r="L13" s="113">
        <f>L11-(K11-K13)</f>
        <v>15884.25</v>
      </c>
    </row>
    <row r="14" spans="1:12" ht="41.25" customHeight="1">
      <c r="A14" s="12" t="s">
        <v>13</v>
      </c>
      <c r="B14" s="27" t="s">
        <v>14</v>
      </c>
      <c r="C14" s="12"/>
      <c r="D14" s="28"/>
      <c r="E14" s="28"/>
      <c r="F14" s="29"/>
      <c r="G14" s="28"/>
      <c r="H14" s="28"/>
      <c r="I14" s="28"/>
      <c r="J14" s="28"/>
      <c r="K14" s="28"/>
      <c r="L14" s="28"/>
    </row>
    <row r="15" spans="1:12" ht="94.5">
      <c r="A15" s="12" t="s">
        <v>15</v>
      </c>
      <c r="B15" s="27" t="s">
        <v>65</v>
      </c>
      <c r="C15" s="12" t="s">
        <v>16</v>
      </c>
      <c r="D15" s="67">
        <f aca="true" t="shared" si="1" ref="D15:I15">D11/D10</f>
        <v>0.15428917018881438</v>
      </c>
      <c r="E15" s="67">
        <f t="shared" si="1"/>
        <v>0.027650136572127636</v>
      </c>
      <c r="F15" s="38">
        <f t="shared" si="1"/>
        <v>0.14829649045012538</v>
      </c>
      <c r="G15" s="38">
        <f t="shared" si="1"/>
        <v>0.23699986197762643</v>
      </c>
      <c r="H15" s="38">
        <f t="shared" si="1"/>
        <v>0.14366585281151115</v>
      </c>
      <c r="I15" s="67">
        <f t="shared" si="1"/>
        <v>0.13310511405866723</v>
      </c>
      <c r="J15" s="38">
        <f>J11/J10</f>
        <v>0.16007398871656495</v>
      </c>
      <c r="K15" s="38">
        <f>K11/K10</f>
        <v>0.1323746847765107</v>
      </c>
      <c r="L15" s="67">
        <f>L11/L10</f>
        <v>0.11566857959308985</v>
      </c>
    </row>
    <row r="16" spans="1:12" ht="58.5" customHeight="1">
      <c r="A16" s="12" t="s">
        <v>17</v>
      </c>
      <c r="B16" s="27" t="s">
        <v>64</v>
      </c>
      <c r="C16" s="12"/>
      <c r="D16" s="28"/>
      <c r="E16" s="28"/>
      <c r="F16" s="29"/>
      <c r="G16" s="28"/>
      <c r="H16" s="28"/>
      <c r="I16" s="28"/>
      <c r="J16" s="28"/>
      <c r="K16" s="28"/>
      <c r="L16" s="28"/>
    </row>
    <row r="17" spans="1:12" ht="60.75" customHeight="1">
      <c r="A17" s="12" t="s">
        <v>18</v>
      </c>
      <c r="B17" s="27" t="s">
        <v>58</v>
      </c>
      <c r="C17" s="12" t="s">
        <v>19</v>
      </c>
      <c r="D17" s="39"/>
      <c r="E17" s="39"/>
      <c r="F17" s="40"/>
      <c r="G17" s="41">
        <v>0</v>
      </c>
      <c r="H17" s="41">
        <v>0</v>
      </c>
      <c r="I17" s="41">
        <v>0</v>
      </c>
      <c r="J17" s="41">
        <v>0</v>
      </c>
      <c r="K17" s="41">
        <v>0</v>
      </c>
      <c r="L17" s="41">
        <v>0</v>
      </c>
    </row>
    <row r="18" spans="1:12" ht="39.75" customHeight="1">
      <c r="A18" s="12" t="s">
        <v>20</v>
      </c>
      <c r="B18" s="27" t="s">
        <v>59</v>
      </c>
      <c r="C18" s="12" t="s">
        <v>21</v>
      </c>
      <c r="D18" s="39"/>
      <c r="E18" s="39"/>
      <c r="F18" s="40"/>
      <c r="G18" s="41">
        <v>0</v>
      </c>
      <c r="H18" s="41">
        <v>0</v>
      </c>
      <c r="I18" s="41">
        <v>0</v>
      </c>
      <c r="J18" s="41">
        <v>0</v>
      </c>
      <c r="K18" s="41">
        <v>0</v>
      </c>
      <c r="L18" s="41">
        <v>0</v>
      </c>
    </row>
    <row r="19" spans="1:12" ht="24.75" customHeight="1">
      <c r="A19" s="12" t="s">
        <v>22</v>
      </c>
      <c r="B19" s="27" t="s">
        <v>60</v>
      </c>
      <c r="C19" s="12" t="s">
        <v>19</v>
      </c>
      <c r="D19" s="33">
        <v>38.38</v>
      </c>
      <c r="E19" s="33">
        <v>38.99</v>
      </c>
      <c r="F19" s="42">
        <v>38.99</v>
      </c>
      <c r="G19" s="55">
        <v>38.9396</v>
      </c>
      <c r="H19" s="55">
        <v>44.8252</v>
      </c>
      <c r="I19" s="55">
        <v>46.2022</v>
      </c>
      <c r="J19" s="55">
        <v>38.9396</v>
      </c>
      <c r="K19" s="55">
        <v>48.07</v>
      </c>
      <c r="L19" s="55">
        <v>45.8</v>
      </c>
    </row>
    <row r="20" spans="1:12" ht="39" customHeight="1">
      <c r="A20" s="12" t="s">
        <v>167</v>
      </c>
      <c r="B20" s="27" t="s">
        <v>166</v>
      </c>
      <c r="C20" s="12" t="s">
        <v>61</v>
      </c>
      <c r="D20" s="70">
        <f>'цены Северск '!F28</f>
        <v>230783.694</v>
      </c>
      <c r="E20" s="70">
        <f>'цены Северск '!I28</f>
        <v>231190</v>
      </c>
      <c r="F20" s="71">
        <f>'цены Северск '!L28</f>
        <v>228743</v>
      </c>
      <c r="G20" s="72">
        <f>'цены Северск '!O28</f>
        <v>230783.694</v>
      </c>
      <c r="H20" s="72">
        <f>'цены Северск '!R28</f>
        <v>231190</v>
      </c>
      <c r="I20" s="72">
        <f>'цены Северск '!U28</f>
        <v>228743</v>
      </c>
      <c r="J20" s="72">
        <f>'цены Северск '!X28</f>
        <v>221920.348</v>
      </c>
      <c r="K20" s="72">
        <f>'цены Северск '!AA28</f>
        <v>235000</v>
      </c>
      <c r="L20" s="72">
        <f>'цены Северск '!AD28</f>
        <v>220000</v>
      </c>
    </row>
    <row r="21" spans="1:12" ht="76.5" customHeight="1">
      <c r="A21" s="12" t="s">
        <v>24</v>
      </c>
      <c r="B21" s="27" t="s">
        <v>62</v>
      </c>
      <c r="C21" s="12" t="s">
        <v>23</v>
      </c>
      <c r="D21" s="73">
        <v>122713.154</v>
      </c>
      <c r="E21" s="73">
        <v>127193</v>
      </c>
      <c r="F21" s="74">
        <v>126590</v>
      </c>
      <c r="G21" s="73">
        <v>126558.725</v>
      </c>
      <c r="H21" s="73">
        <v>126590</v>
      </c>
      <c r="I21" s="73">
        <v>126600</v>
      </c>
      <c r="J21" s="73">
        <v>122751.051</v>
      </c>
      <c r="K21" s="73">
        <v>126600</v>
      </c>
      <c r="L21" s="73">
        <v>126600</v>
      </c>
    </row>
    <row r="22" spans="1:12" ht="173.25">
      <c r="A22" s="12" t="s">
        <v>25</v>
      </c>
      <c r="B22" s="27" t="s">
        <v>63</v>
      </c>
      <c r="C22" s="12" t="s">
        <v>16</v>
      </c>
      <c r="D22" s="45" t="s">
        <v>171</v>
      </c>
      <c r="E22" s="45" t="s">
        <v>172</v>
      </c>
      <c r="F22" s="46" t="s">
        <v>173</v>
      </c>
      <c r="G22" s="45" t="s">
        <v>172</v>
      </c>
      <c r="H22" s="45" t="s">
        <v>173</v>
      </c>
      <c r="I22" s="45" t="s">
        <v>199</v>
      </c>
      <c r="J22" s="45" t="s">
        <v>173</v>
      </c>
      <c r="K22" s="45" t="s">
        <v>173</v>
      </c>
      <c r="L22" s="45" t="s">
        <v>201</v>
      </c>
    </row>
    <row r="23" spans="1:12" ht="220.5">
      <c r="A23" s="12" t="s">
        <v>26</v>
      </c>
      <c r="B23" s="27" t="s">
        <v>66</v>
      </c>
      <c r="C23" s="12"/>
      <c r="D23" s="45" t="s">
        <v>164</v>
      </c>
      <c r="E23" s="45" t="s">
        <v>164</v>
      </c>
      <c r="F23" s="46" t="s">
        <v>165</v>
      </c>
      <c r="G23" s="45" t="s">
        <v>164</v>
      </c>
      <c r="H23" s="45" t="s">
        <v>165</v>
      </c>
      <c r="I23" s="45" t="s">
        <v>165</v>
      </c>
      <c r="J23" s="45" t="s">
        <v>165</v>
      </c>
      <c r="K23" s="45" t="s">
        <v>165</v>
      </c>
      <c r="L23" s="45" t="s">
        <v>165</v>
      </c>
    </row>
    <row r="24" spans="1:12" ht="93.75">
      <c r="A24" s="12" t="s">
        <v>27</v>
      </c>
      <c r="B24" s="27" t="s">
        <v>67</v>
      </c>
      <c r="C24" s="12" t="s">
        <v>21</v>
      </c>
      <c r="D24" s="39"/>
      <c r="E24" s="39"/>
      <c r="F24" s="40"/>
      <c r="G24" s="41">
        <v>0</v>
      </c>
      <c r="H24" s="41">
        <v>0</v>
      </c>
      <c r="I24" s="41">
        <v>0</v>
      </c>
      <c r="J24" s="41">
        <v>0</v>
      </c>
      <c r="K24" s="41">
        <v>0</v>
      </c>
      <c r="L24" s="41">
        <v>0</v>
      </c>
    </row>
    <row r="25" spans="1:12" ht="72" customHeight="1">
      <c r="A25" s="12" t="s">
        <v>28</v>
      </c>
      <c r="B25" s="27" t="s">
        <v>29</v>
      </c>
      <c r="C25" s="12"/>
      <c r="D25" s="30">
        <f aca="true" t="shared" si="2" ref="D25:I25">D10</f>
        <v>184845.11884468998</v>
      </c>
      <c r="E25" s="30">
        <f t="shared" si="2"/>
        <v>199022.52510199999</v>
      </c>
      <c r="F25" s="31">
        <f t="shared" si="2"/>
        <v>224300.65539</v>
      </c>
      <c r="G25" s="31">
        <f t="shared" si="2"/>
        <v>200692.1</v>
      </c>
      <c r="H25" s="30">
        <f t="shared" si="2"/>
        <v>207498.02000000002</v>
      </c>
      <c r="I25" s="30">
        <f t="shared" si="2"/>
        <v>217872.92100000003</v>
      </c>
      <c r="J25" s="31">
        <f>J10</f>
        <v>205479.98000000004</v>
      </c>
      <c r="K25" s="30">
        <f>K10</f>
        <v>230439.68</v>
      </c>
      <c r="L25" s="30">
        <f>L10</f>
        <v>304873.2</v>
      </c>
    </row>
    <row r="26" spans="1:12" ht="90" customHeight="1">
      <c r="A26" s="12" t="s">
        <v>30</v>
      </c>
      <c r="B26" s="27" t="s">
        <v>156</v>
      </c>
      <c r="C26" s="12" t="s">
        <v>6</v>
      </c>
      <c r="D26" s="47">
        <f aca="true" t="shared" si="3" ref="D26:I26">D28+D29+D30</f>
        <v>111282.71546999997</v>
      </c>
      <c r="E26" s="47">
        <f t="shared" si="3"/>
        <v>119423.99999999999</v>
      </c>
      <c r="F26" s="48">
        <f t="shared" si="3"/>
        <v>116726.761</v>
      </c>
      <c r="G26" s="48">
        <f t="shared" si="3"/>
        <v>101304.79999999999</v>
      </c>
      <c r="H26" s="47">
        <f t="shared" si="3"/>
        <v>-38896.54999999999</v>
      </c>
      <c r="I26" s="47">
        <f t="shared" si="3"/>
        <v>-53778.000000000015</v>
      </c>
      <c r="J26" s="48">
        <f>J28+J29+J30</f>
        <v>102508.30000000003</v>
      </c>
      <c r="K26" s="47">
        <f>K28+K29+K30</f>
        <v>102731.35</v>
      </c>
      <c r="L26" s="47">
        <f>L28+L29+L30</f>
        <v>163432.16999999998</v>
      </c>
    </row>
    <row r="27" spans="1:12" ht="27" customHeight="1">
      <c r="A27" s="12"/>
      <c r="B27" s="27" t="s">
        <v>68</v>
      </c>
      <c r="C27" s="12"/>
      <c r="D27" s="30"/>
      <c r="E27" s="28"/>
      <c r="F27" s="29"/>
      <c r="G27" s="28"/>
      <c r="H27" s="28"/>
      <c r="I27" s="28"/>
      <c r="J27" s="28"/>
      <c r="K27" s="28"/>
      <c r="L27" s="28"/>
    </row>
    <row r="28" spans="1:12" ht="27" customHeight="1">
      <c r="A28" s="12"/>
      <c r="B28" s="27" t="s">
        <v>31</v>
      </c>
      <c r="C28" s="12"/>
      <c r="D28" s="34">
        <f>47789+12158</f>
        <v>59947</v>
      </c>
      <c r="E28" s="33">
        <f>59808+18062</f>
        <v>77870</v>
      </c>
      <c r="F28" s="42">
        <f>62059+18742</f>
        <v>80801</v>
      </c>
      <c r="G28" s="33">
        <v>68787.7</v>
      </c>
      <c r="H28" s="33">
        <f>60534.43+16921.27</f>
        <v>77455.7</v>
      </c>
      <c r="I28" s="33">
        <f>ROUND(H28*1.05,0)</f>
        <v>81328</v>
      </c>
      <c r="J28" s="33">
        <v>75136.4</v>
      </c>
      <c r="K28" s="33">
        <f>66216.29+20129.75</f>
        <v>86346.04</v>
      </c>
      <c r="L28" s="33">
        <v>137927.2</v>
      </c>
    </row>
    <row r="29" spans="1:12" ht="27" customHeight="1">
      <c r="A29" s="12"/>
      <c r="B29" s="27" t="s">
        <v>32</v>
      </c>
      <c r="C29" s="12"/>
      <c r="D29" s="34">
        <v>2127</v>
      </c>
      <c r="E29" s="33">
        <v>21615</v>
      </c>
      <c r="F29" s="42">
        <v>2699</v>
      </c>
      <c r="G29" s="33">
        <v>21614.7</v>
      </c>
      <c r="H29" s="33">
        <v>2774.6</v>
      </c>
      <c r="I29" s="113">
        <f>H29*1.05</f>
        <v>2913.33</v>
      </c>
      <c r="J29" s="33">
        <f>1036.5+423.6</f>
        <v>1460.1</v>
      </c>
      <c r="K29" s="33">
        <v>1851.25</v>
      </c>
      <c r="L29" s="113">
        <v>2051.9</v>
      </c>
    </row>
    <row r="30" spans="1:12" ht="27" customHeight="1">
      <c r="A30" s="12"/>
      <c r="B30" s="27" t="s">
        <v>33</v>
      </c>
      <c r="C30" s="12"/>
      <c r="D30" s="30">
        <f aca="true" t="shared" si="4" ref="D30:I30">D59+D37+D39-D29-D28-D32-D40-D41</f>
        <v>49208.71546999997</v>
      </c>
      <c r="E30" s="30">
        <f t="shared" si="4"/>
        <v>19938.999999999985</v>
      </c>
      <c r="F30" s="31">
        <f t="shared" si="4"/>
        <v>33226.761</v>
      </c>
      <c r="G30" s="31">
        <f t="shared" si="4"/>
        <v>10902.399999999987</v>
      </c>
      <c r="H30" s="31">
        <f t="shared" si="4"/>
        <v>-119126.84999999999</v>
      </c>
      <c r="I30" s="30">
        <f t="shared" si="4"/>
        <v>-138019.33000000002</v>
      </c>
      <c r="J30" s="31">
        <f>J59+J37+J39-J29-J28-J32-J40-J41</f>
        <v>25911.800000000032</v>
      </c>
      <c r="K30" s="31">
        <f>K59+K37+K39-K29-K28-K32-K40-K41</f>
        <v>14534.060000000005</v>
      </c>
      <c r="L30" s="30">
        <f>L59+L37+L39-L29-L28-L32-L40-L41</f>
        <v>23453.069999999985</v>
      </c>
    </row>
    <row r="31" spans="1:12" ht="27" customHeight="1" hidden="1" outlineLevel="1">
      <c r="A31" s="12"/>
      <c r="B31" s="49" t="s">
        <v>157</v>
      </c>
      <c r="C31" s="12"/>
      <c r="D31" s="30"/>
      <c r="E31" s="30"/>
      <c r="F31" s="31"/>
      <c r="G31" s="28"/>
      <c r="H31" s="28"/>
      <c r="I31" s="28"/>
      <c r="J31" s="28"/>
      <c r="K31" s="28"/>
      <c r="L31" s="28"/>
    </row>
    <row r="32" spans="1:12" ht="85.5" customHeight="1" collapsed="1">
      <c r="A32" s="12" t="s">
        <v>34</v>
      </c>
      <c r="B32" s="27" t="s">
        <v>69</v>
      </c>
      <c r="C32" s="12" t="s">
        <v>6</v>
      </c>
      <c r="D32" s="30">
        <f aca="true" t="shared" si="5" ref="D32:I32">SUM(D33:D39)</f>
        <v>72271.09693469001</v>
      </c>
      <c r="E32" s="30">
        <f t="shared" si="5"/>
        <v>79476.525102</v>
      </c>
      <c r="F32" s="31">
        <f t="shared" si="5"/>
        <v>89301.65539</v>
      </c>
      <c r="G32" s="31">
        <f t="shared" si="5"/>
        <v>59544.3</v>
      </c>
      <c r="H32" s="31">
        <f t="shared" si="5"/>
        <v>73745.75</v>
      </c>
      <c r="I32" s="30">
        <f t="shared" si="5"/>
        <v>77150</v>
      </c>
      <c r="J32" s="31">
        <f>SUM(J33:J39)</f>
        <v>72116.68000000001</v>
      </c>
      <c r="K32" s="31">
        <f>SUM(K33:K39)</f>
        <v>105092.23000000001</v>
      </c>
      <c r="L32" s="30">
        <f>SUM(L33:L39)</f>
        <v>129634.77</v>
      </c>
    </row>
    <row r="33" spans="1:12" ht="38.25" customHeight="1" hidden="1" outlineLevel="1">
      <c r="A33" s="12"/>
      <c r="B33" s="50" t="s">
        <v>149</v>
      </c>
      <c r="C33" s="12"/>
      <c r="D33" s="34">
        <v>0</v>
      </c>
      <c r="E33" s="33">
        <v>0</v>
      </c>
      <c r="F33" s="42">
        <v>0</v>
      </c>
      <c r="G33" s="33">
        <v>0</v>
      </c>
      <c r="H33" s="33">
        <v>0</v>
      </c>
      <c r="I33" s="33">
        <v>0</v>
      </c>
      <c r="J33" s="33">
        <v>0</v>
      </c>
      <c r="K33" s="33">
        <v>0</v>
      </c>
      <c r="L33" s="33">
        <v>0</v>
      </c>
    </row>
    <row r="34" spans="1:12" ht="52.5" customHeight="1" hidden="1" outlineLevel="1">
      <c r="A34" s="12"/>
      <c r="B34" s="50" t="s">
        <v>152</v>
      </c>
      <c r="C34" s="12"/>
      <c r="D34" s="34">
        <v>4769</v>
      </c>
      <c r="E34" s="33">
        <v>4441</v>
      </c>
      <c r="F34" s="35">
        <v>8599</v>
      </c>
      <c r="G34" s="33">
        <v>4325</v>
      </c>
      <c r="H34" s="33">
        <v>5510.8</v>
      </c>
      <c r="I34" s="113">
        <v>5510</v>
      </c>
      <c r="J34" s="33">
        <v>5890.6</v>
      </c>
      <c r="K34" s="33">
        <v>10464.83</v>
      </c>
      <c r="L34" s="113">
        <v>6184.6</v>
      </c>
    </row>
    <row r="35" spans="1:12" ht="94.5" hidden="1" outlineLevel="1">
      <c r="A35" s="12"/>
      <c r="B35" s="50" t="s">
        <v>155</v>
      </c>
      <c r="C35" s="12"/>
      <c r="D35" s="34">
        <v>0</v>
      </c>
      <c r="E35" s="33">
        <v>0</v>
      </c>
      <c r="F35" s="42">
        <v>1140</v>
      </c>
      <c r="G35" s="33">
        <v>0</v>
      </c>
      <c r="H35" s="33">
        <v>0</v>
      </c>
      <c r="I35" s="33">
        <v>0</v>
      </c>
      <c r="J35" s="33">
        <v>0</v>
      </c>
      <c r="K35" s="33">
        <v>0</v>
      </c>
      <c r="L35" s="33">
        <v>0</v>
      </c>
    </row>
    <row r="36" spans="1:12" ht="84" customHeight="1" hidden="1" outlineLevel="1">
      <c r="A36" s="12"/>
      <c r="B36" s="50" t="s">
        <v>150</v>
      </c>
      <c r="C36" s="12"/>
      <c r="D36" s="34">
        <v>7576.87809</v>
      </c>
      <c r="E36" s="33">
        <v>8978</v>
      </c>
      <c r="F36" s="42">
        <v>11041</v>
      </c>
      <c r="G36" s="33">
        <v>11292.5</v>
      </c>
      <c r="H36" s="33">
        <f>11041.07+1465.63</f>
        <v>12506.7</v>
      </c>
      <c r="I36" s="113">
        <f>ROUND(H36*1.05,0)</f>
        <v>13132</v>
      </c>
      <c r="J36" s="33">
        <v>12069.5</v>
      </c>
      <c r="K36" s="33">
        <f>2208.97+15607.2</f>
        <v>17816.170000000002</v>
      </c>
      <c r="L36" s="115">
        <v>18412.2</v>
      </c>
    </row>
    <row r="37" spans="1:12" ht="78.75" hidden="1" outlineLevel="1">
      <c r="A37" s="12"/>
      <c r="B37" s="50" t="s">
        <v>151</v>
      </c>
      <c r="C37" s="12"/>
      <c r="D37" s="34">
        <v>16408.87394</v>
      </c>
      <c r="E37" s="33">
        <v>11809.3</v>
      </c>
      <c r="F37" s="42">
        <v>12000</v>
      </c>
      <c r="G37" s="33">
        <v>3672.4</v>
      </c>
      <c r="H37" s="33">
        <v>20000</v>
      </c>
      <c r="I37" s="113">
        <f>ROUND(H37*1.05,0)</f>
        <v>21000</v>
      </c>
      <c r="J37" s="33">
        <v>20830.98</v>
      </c>
      <c r="K37" s="33">
        <v>26976.3</v>
      </c>
      <c r="L37" s="113">
        <v>28894.2</v>
      </c>
    </row>
    <row r="38" spans="1:12" ht="78.75" hidden="1" outlineLevel="1">
      <c r="A38" s="12"/>
      <c r="B38" s="27" t="s">
        <v>154</v>
      </c>
      <c r="C38" s="12"/>
      <c r="D38" s="34">
        <v>116</v>
      </c>
      <c r="E38" s="33">
        <v>209</v>
      </c>
      <c r="F38" s="42">
        <v>128</v>
      </c>
      <c r="G38" s="33">
        <v>242.3</v>
      </c>
      <c r="H38" s="33">
        <f>89.38+38.4+0.47</f>
        <v>128.25</v>
      </c>
      <c r="I38" s="113">
        <v>128</v>
      </c>
      <c r="J38" s="33">
        <v>336.3</v>
      </c>
      <c r="K38" s="33">
        <v>272.1</v>
      </c>
      <c r="L38" s="113">
        <v>373.8</v>
      </c>
    </row>
    <row r="39" spans="1:12" ht="63" hidden="1" outlineLevel="1">
      <c r="A39" s="12"/>
      <c r="B39" s="27" t="s">
        <v>153</v>
      </c>
      <c r="C39" s="12"/>
      <c r="D39" s="51">
        <f>'цены Северск '!F19</f>
        <v>43400.344904690006</v>
      </c>
      <c r="E39" s="51">
        <f>'цены Северск '!I19</f>
        <v>54039.225102</v>
      </c>
      <c r="F39" s="52">
        <f>'цены Северск '!L19</f>
        <v>56393.65539</v>
      </c>
      <c r="G39" s="33">
        <v>40012.1</v>
      </c>
      <c r="H39" s="33">
        <v>35600</v>
      </c>
      <c r="I39" s="113">
        <f>H39*1.05</f>
        <v>37380</v>
      </c>
      <c r="J39" s="34">
        <v>32989.3</v>
      </c>
      <c r="K39" s="34">
        <v>49562.83</v>
      </c>
      <c r="L39" s="115">
        <v>75769.97</v>
      </c>
    </row>
    <row r="40" spans="1:12" ht="60.75" customHeight="1" collapsed="1">
      <c r="A40" s="12" t="s">
        <v>35</v>
      </c>
      <c r="B40" s="27" t="s">
        <v>70</v>
      </c>
      <c r="C40" s="12" t="s">
        <v>6</v>
      </c>
      <c r="D40" s="28">
        <v>0</v>
      </c>
      <c r="E40" s="28">
        <v>122</v>
      </c>
      <c r="F40" s="31">
        <v>976.639</v>
      </c>
      <c r="G40" s="33">
        <v>122</v>
      </c>
      <c r="H40" s="33">
        <v>0</v>
      </c>
      <c r="I40" s="113">
        <v>1000</v>
      </c>
      <c r="J40" s="33"/>
      <c r="K40" s="33">
        <v>-8083.9</v>
      </c>
      <c r="L40" s="113">
        <v>2161.4</v>
      </c>
    </row>
    <row r="41" spans="1:12" ht="43.5" customHeight="1">
      <c r="A41" s="12" t="s">
        <v>36</v>
      </c>
      <c r="B41" s="27" t="s">
        <v>75</v>
      </c>
      <c r="C41" s="12" t="s">
        <v>6</v>
      </c>
      <c r="D41" s="28">
        <v>1291.30644</v>
      </c>
      <c r="E41" s="28">
        <v>0</v>
      </c>
      <c r="F41" s="31">
        <v>17295.6</v>
      </c>
      <c r="G41" s="33">
        <v>39720.9</v>
      </c>
      <c r="H41" s="33">
        <v>20750.8</v>
      </c>
      <c r="I41" s="33">
        <v>34008</v>
      </c>
      <c r="J41" s="33">
        <v>30855</v>
      </c>
      <c r="K41" s="33">
        <v>30700</v>
      </c>
      <c r="L41" s="33">
        <v>28700</v>
      </c>
    </row>
    <row r="42" spans="1:12" ht="75.75" customHeight="1">
      <c r="A42" s="12" t="s">
        <v>37</v>
      </c>
      <c r="B42" s="27" t="s">
        <v>38</v>
      </c>
      <c r="C42" s="12"/>
      <c r="D42" s="28" t="s">
        <v>161</v>
      </c>
      <c r="E42" s="28" t="s">
        <v>161</v>
      </c>
      <c r="F42" s="53" t="s">
        <v>160</v>
      </c>
      <c r="G42" s="28" t="s">
        <v>161</v>
      </c>
      <c r="H42" s="53" t="s">
        <v>160</v>
      </c>
      <c r="I42" s="57" t="s">
        <v>160</v>
      </c>
      <c r="J42" s="53" t="s">
        <v>160</v>
      </c>
      <c r="K42" s="53" t="s">
        <v>160</v>
      </c>
      <c r="L42" s="57" t="s">
        <v>160</v>
      </c>
    </row>
    <row r="43" spans="1:12" ht="27" customHeight="1">
      <c r="A43" s="12"/>
      <c r="B43" s="54" t="s">
        <v>39</v>
      </c>
      <c r="C43" s="12"/>
      <c r="D43" s="28"/>
      <c r="E43" s="28"/>
      <c r="F43" s="29"/>
      <c r="G43" s="28"/>
      <c r="H43" s="28"/>
      <c r="I43" s="28"/>
      <c r="J43" s="28"/>
      <c r="K43" s="28"/>
      <c r="L43" s="28"/>
    </row>
    <row r="44" spans="1:12" ht="30.75" customHeight="1">
      <c r="A44" s="12"/>
      <c r="B44" s="27" t="s">
        <v>71</v>
      </c>
      <c r="C44" s="12" t="s">
        <v>40</v>
      </c>
      <c r="D44" s="33">
        <v>4658.53</v>
      </c>
      <c r="E44" s="33">
        <v>4733.057</v>
      </c>
      <c r="F44" s="42">
        <v>4760.257</v>
      </c>
      <c r="G44" s="33">
        <f>1624.07+3197</f>
        <v>4821.07</v>
      </c>
      <c r="H44" s="33">
        <f>1624.19+3197</f>
        <v>4821.1900000000005</v>
      </c>
      <c r="I44" s="33">
        <f>3245.8+1694.07</f>
        <v>4939.87</v>
      </c>
      <c r="J44" s="55">
        <v>4730.46</v>
      </c>
      <c r="K44" s="33">
        <v>4761.7</v>
      </c>
      <c r="L44" s="33">
        <v>4767.2</v>
      </c>
    </row>
    <row r="45" spans="1:12" ht="37.5">
      <c r="A45" s="12"/>
      <c r="B45" s="27" t="s">
        <v>72</v>
      </c>
      <c r="C45" s="12" t="s">
        <v>41</v>
      </c>
      <c r="D45" s="43">
        <f aca="true" t="shared" si="6" ref="D45:I45">D32/D44</f>
        <v>15.513712895417656</v>
      </c>
      <c r="E45" s="43">
        <f t="shared" si="6"/>
        <v>16.791795472144113</v>
      </c>
      <c r="F45" s="44">
        <f t="shared" si="6"/>
        <v>18.759839099023438</v>
      </c>
      <c r="G45" s="44">
        <f t="shared" si="6"/>
        <v>12.350847425986348</v>
      </c>
      <c r="H45" s="44">
        <f t="shared" si="6"/>
        <v>15.29617169205113</v>
      </c>
      <c r="I45" s="43">
        <f t="shared" si="6"/>
        <v>15.617819902143173</v>
      </c>
      <c r="J45" s="44">
        <f>J32/J44</f>
        <v>15.24517277389514</v>
      </c>
      <c r="K45" s="44">
        <f>K32/K44</f>
        <v>22.070317323644918</v>
      </c>
      <c r="L45" s="43">
        <f>L32/L44</f>
        <v>27.193063013928512</v>
      </c>
    </row>
    <row r="46" spans="1:12" ht="72.75" customHeight="1">
      <c r="A46" s="12" t="s">
        <v>42</v>
      </c>
      <c r="B46" s="27" t="s">
        <v>43</v>
      </c>
      <c r="C46" s="12"/>
      <c r="D46" s="28"/>
      <c r="E46" s="28"/>
      <c r="F46" s="29"/>
      <c r="G46" s="28"/>
      <c r="H46" s="28"/>
      <c r="I46" s="28"/>
      <c r="J46" s="28"/>
      <c r="K46" s="28"/>
      <c r="L46" s="28"/>
    </row>
    <row r="47" spans="1:12" ht="41.25" customHeight="1">
      <c r="A47" s="12" t="s">
        <v>44</v>
      </c>
      <c r="B47" s="27" t="s">
        <v>45</v>
      </c>
      <c r="C47" s="12" t="s">
        <v>46</v>
      </c>
      <c r="D47" s="34">
        <v>113.6670057461929</v>
      </c>
      <c r="E47" s="55">
        <v>165.66</v>
      </c>
      <c r="F47" s="56">
        <f>E47</f>
        <v>165.66</v>
      </c>
      <c r="G47" s="33">
        <v>148.4</v>
      </c>
      <c r="H47" s="33">
        <v>165.7</v>
      </c>
      <c r="I47" s="33">
        <v>165.7</v>
      </c>
      <c r="J47" s="33">
        <f>156.8-16</f>
        <v>140.8</v>
      </c>
      <c r="K47" s="33">
        <v>142</v>
      </c>
      <c r="L47" s="33">
        <v>199</v>
      </c>
    </row>
    <row r="48" spans="1:12" ht="47.25">
      <c r="A48" s="12" t="s">
        <v>47</v>
      </c>
      <c r="B48" s="27" t="s">
        <v>48</v>
      </c>
      <c r="C48" s="12" t="s">
        <v>73</v>
      </c>
      <c r="D48" s="34">
        <v>34893.215639917005</v>
      </c>
      <c r="E48" s="34">
        <f>59808/12/E47*1000</f>
        <v>30085.717735120128</v>
      </c>
      <c r="F48" s="35">
        <f>62059/12/F47*1000</f>
        <v>31218.05706467061</v>
      </c>
      <c r="G48" s="33">
        <v>36631.1</v>
      </c>
      <c r="H48" s="33">
        <v>39257.09</v>
      </c>
      <c r="I48" s="33">
        <f>ROUND(H48*1.05,0)</f>
        <v>41220</v>
      </c>
      <c r="J48" s="55">
        <f>60141/J47/12</f>
        <v>35.594815340909086</v>
      </c>
      <c r="K48" s="55">
        <f>66216.29/K47/12</f>
        <v>38.85932511737089</v>
      </c>
      <c r="L48" s="55">
        <f>106379/L47/12</f>
        <v>44.54731993299833</v>
      </c>
    </row>
    <row r="49" spans="1:12" ht="102.75" customHeight="1">
      <c r="A49" s="12" t="s">
        <v>49</v>
      </c>
      <c r="B49" s="27" t="s">
        <v>50</v>
      </c>
      <c r="C49" s="12"/>
      <c r="D49" s="45" t="s">
        <v>159</v>
      </c>
      <c r="E49" s="57" t="s">
        <v>158</v>
      </c>
      <c r="F49" s="53" t="s">
        <v>158</v>
      </c>
      <c r="G49" s="53" t="s">
        <v>158</v>
      </c>
      <c r="H49" s="53" t="s">
        <v>158</v>
      </c>
      <c r="I49" s="57" t="s">
        <v>158</v>
      </c>
      <c r="J49" s="53" t="s">
        <v>158</v>
      </c>
      <c r="K49" s="53" t="s">
        <v>158</v>
      </c>
      <c r="L49" s="57" t="s">
        <v>158</v>
      </c>
    </row>
    <row r="50" spans="1:12" ht="27" customHeight="1">
      <c r="A50" s="12"/>
      <c r="B50" s="54" t="s">
        <v>39</v>
      </c>
      <c r="C50" s="12"/>
      <c r="D50" s="28"/>
      <c r="E50" s="28"/>
      <c r="F50" s="29"/>
      <c r="G50" s="28"/>
      <c r="H50" s="28"/>
      <c r="I50" s="28"/>
      <c r="J50" s="28"/>
      <c r="K50" s="28"/>
      <c r="L50" s="28"/>
    </row>
    <row r="51" spans="1:12" ht="65.25" customHeight="1">
      <c r="A51" s="12"/>
      <c r="B51" s="27" t="s">
        <v>51</v>
      </c>
      <c r="C51" s="12" t="s">
        <v>6</v>
      </c>
      <c r="D51" s="28">
        <v>36561</v>
      </c>
      <c r="E51" s="28">
        <f>D51-15000</f>
        <v>21561</v>
      </c>
      <c r="F51" s="28">
        <f>E51</f>
        <v>21561</v>
      </c>
      <c r="G51" s="33">
        <v>21561</v>
      </c>
      <c r="H51" s="33">
        <v>21561</v>
      </c>
      <c r="I51" s="33">
        <v>21561</v>
      </c>
      <c r="J51" s="33">
        <v>21561</v>
      </c>
      <c r="K51" s="33">
        <v>21561</v>
      </c>
      <c r="L51" s="33">
        <v>21561</v>
      </c>
    </row>
    <row r="52" spans="1:12" ht="77.25" customHeight="1">
      <c r="A52" s="12"/>
      <c r="B52" s="27" t="s">
        <v>52</v>
      </c>
      <c r="C52" s="12" t="s">
        <v>6</v>
      </c>
      <c r="D52" s="28">
        <f>70539-D51</f>
        <v>33978</v>
      </c>
      <c r="E52" s="28">
        <f>88663+10000-15000-62820+15000</f>
        <v>35843</v>
      </c>
      <c r="F52" s="30">
        <f>(88663+10000+F13-15000)-(62820+F41)</f>
        <v>20843.09331225745</v>
      </c>
      <c r="G52" s="115">
        <v>33978</v>
      </c>
      <c r="H52" s="115">
        <v>35843</v>
      </c>
      <c r="I52" s="115">
        <v>20843.09331225745</v>
      </c>
      <c r="J52" s="115">
        <v>-25467</v>
      </c>
      <c r="K52" s="115">
        <f>-25000</f>
        <v>-25000</v>
      </c>
      <c r="L52" s="115">
        <f>-20000</f>
        <v>-20000</v>
      </c>
    </row>
    <row r="53" spans="1:12" s="59" customFormat="1" ht="19.5" customHeight="1">
      <c r="A53" s="59" t="s">
        <v>204</v>
      </c>
      <c r="G53" s="114"/>
      <c r="H53" s="114"/>
      <c r="I53" s="114"/>
      <c r="J53" s="114"/>
      <c r="K53" s="114"/>
      <c r="L53" s="114"/>
    </row>
    <row r="54" spans="1:12" s="59" customFormat="1" ht="15.75">
      <c r="A54" s="59" t="s">
        <v>205</v>
      </c>
      <c r="G54" s="114"/>
      <c r="H54" s="114"/>
      <c r="I54" s="114"/>
      <c r="J54" s="114"/>
      <c r="K54" s="114"/>
      <c r="L54" s="114"/>
    </row>
    <row r="55" spans="1:12" s="59" customFormat="1" ht="15.75">
      <c r="A55" s="59" t="s">
        <v>206</v>
      </c>
      <c r="G55" s="114"/>
      <c r="H55" s="114"/>
      <c r="I55" s="114"/>
      <c r="J55" s="114"/>
      <c r="K55" s="114"/>
      <c r="L55" s="114"/>
    </row>
    <row r="56" spans="1:12" s="59" customFormat="1" ht="15.75">
      <c r="A56" s="59" t="s">
        <v>207</v>
      </c>
      <c r="G56" s="114"/>
      <c r="H56" s="114"/>
      <c r="I56" s="114"/>
      <c r="J56" s="114"/>
      <c r="K56" s="114"/>
      <c r="L56" s="114"/>
    </row>
    <row r="57" spans="1:12" ht="31.5" hidden="1" outlineLevel="1">
      <c r="A57" s="12"/>
      <c r="B57" s="27" t="s">
        <v>168</v>
      </c>
      <c r="C57" s="12" t="s">
        <v>6</v>
      </c>
      <c r="D57" s="61">
        <v>96516.3</v>
      </c>
      <c r="E57" s="61">
        <v>127671</v>
      </c>
      <c r="F57" s="61">
        <v>122644</v>
      </c>
      <c r="G57" s="61">
        <v>109443.7</v>
      </c>
      <c r="H57" s="61">
        <v>114088.66</v>
      </c>
      <c r="I57" s="61"/>
      <c r="J57" s="61">
        <v>119402.16</v>
      </c>
      <c r="K57" s="61">
        <v>123396.17</v>
      </c>
      <c r="L57" s="61">
        <v>183999.92</v>
      </c>
    </row>
    <row r="58" spans="1:12" ht="15.75" hidden="1" outlineLevel="1">
      <c r="A58" s="12"/>
      <c r="B58" s="27" t="s">
        <v>8</v>
      </c>
      <c r="C58" s="12"/>
      <c r="D58" s="63">
        <f aca="true" t="shared" si="7" ref="D58:I58">D59-D57</f>
        <v>28519.59999999999</v>
      </c>
      <c r="E58" s="63">
        <f t="shared" si="7"/>
        <v>5503</v>
      </c>
      <c r="F58" s="63">
        <f t="shared" si="7"/>
        <v>33263</v>
      </c>
      <c r="G58" s="63">
        <f t="shared" si="7"/>
        <v>47563.8</v>
      </c>
      <c r="H58" s="63">
        <f t="shared" si="7"/>
        <v>-114088.66</v>
      </c>
      <c r="I58" s="63">
        <f t="shared" si="7"/>
        <v>0</v>
      </c>
      <c r="J58" s="63">
        <f>J59-J57</f>
        <v>32257.540000000008</v>
      </c>
      <c r="K58" s="63">
        <f>K59-K57</f>
        <v>30504.37999999999</v>
      </c>
      <c r="L58" s="63">
        <f>L59-L57</f>
        <v>35264.25</v>
      </c>
    </row>
    <row r="59" spans="1:12" ht="17.25" customHeight="1" hidden="1" outlineLevel="1">
      <c r="A59" s="12"/>
      <c r="B59" s="27" t="s">
        <v>169</v>
      </c>
      <c r="C59" s="12" t="s">
        <v>6</v>
      </c>
      <c r="D59" s="61">
        <v>125035.9</v>
      </c>
      <c r="E59" s="61">
        <v>133174</v>
      </c>
      <c r="F59" s="61">
        <v>155907</v>
      </c>
      <c r="G59" s="61">
        <v>157007.5</v>
      </c>
      <c r="H59" s="61"/>
      <c r="I59" s="61"/>
      <c r="J59" s="61">
        <v>151659.7</v>
      </c>
      <c r="K59" s="61">
        <v>153900.55</v>
      </c>
      <c r="L59" s="61">
        <v>219264.17</v>
      </c>
    </row>
    <row r="60" spans="1:12" ht="15.75" hidden="1" collapsed="1">
      <c r="A60" s="65"/>
      <c r="B60" s="65" t="s">
        <v>170</v>
      </c>
      <c r="C60" s="65"/>
      <c r="D60" s="63">
        <f aca="true" t="shared" si="8" ref="D60:I60">D25-D26-D32-D40-D41</f>
        <v>0</v>
      </c>
      <c r="E60" s="63">
        <f t="shared" si="8"/>
        <v>0</v>
      </c>
      <c r="F60" s="63">
        <f t="shared" si="8"/>
        <v>0</v>
      </c>
      <c r="G60" s="63">
        <f t="shared" si="8"/>
        <v>0.10000000001309672</v>
      </c>
      <c r="H60" s="63">
        <f t="shared" si="8"/>
        <v>151898.02000000002</v>
      </c>
      <c r="I60" s="63">
        <f t="shared" si="8"/>
        <v>159492.92100000003</v>
      </c>
      <c r="J60" s="63">
        <f>J25-J26-J32-J40-J41</f>
        <v>0</v>
      </c>
      <c r="K60" s="63">
        <f>K25-K26-K32-K40-K41</f>
        <v>0</v>
      </c>
      <c r="L60" s="63">
        <f>L25-L26-L32-L40-L41</f>
        <v>-19055.139999999978</v>
      </c>
    </row>
    <row r="69" ht="15.75"/>
    <row r="70" ht="15.75"/>
    <row r="71" ht="15.75"/>
    <row r="86" ht="15.75"/>
    <row r="87" ht="15.75"/>
  </sheetData>
  <sheetProtection password="A51B" sheet="1" objects="1" scenarios="1" selectLockedCells="1" selectUnlockedCells="1"/>
  <mergeCells count="2">
    <mergeCell ref="A4:I4"/>
    <mergeCell ref="A5:I5"/>
  </mergeCells>
  <printOptions/>
  <pageMargins left="0.7874015748031497" right="0.2" top="0.23" bottom="0.3937007874015748" header="0.2" footer="0.1968503937007874"/>
  <pageSetup blackAndWhite="1" horizontalDpi="600" verticalDpi="600" orientation="landscape" paperSize="9" scale="50"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0" max="11" man="1"/>
  </rowBreaks>
  <legacyDrawing r:id="rId2"/>
</worksheet>
</file>

<file path=xl/worksheets/sheet3.xml><?xml version="1.0" encoding="utf-8"?>
<worksheet xmlns="http://schemas.openxmlformats.org/spreadsheetml/2006/main" xmlns:r="http://schemas.openxmlformats.org/officeDocument/2006/relationships">
  <dimension ref="A1:AD65"/>
  <sheetViews>
    <sheetView view="pageBreakPreview" zoomScale="75" zoomScaleSheetLayoutView="75" workbookViewId="0" topLeftCell="A2">
      <pane xSplit="3" ySplit="7" topLeftCell="V9" activePane="bottomRight" state="frozen"/>
      <selection pane="topLeft" activeCell="A2" sqref="A2"/>
      <selection pane="topRight" activeCell="D2" sqref="D2"/>
      <selection pane="bottomLeft" activeCell="A9" sqref="A9"/>
      <selection pane="bottomRight" activeCell="AK23" sqref="AK23"/>
    </sheetView>
  </sheetViews>
  <sheetFormatPr defaultColWidth="9.00390625" defaultRowHeight="12.75" outlineLevelRow="2" outlineLevelCol="1"/>
  <cols>
    <col min="1" max="1" width="7.75390625" style="24" customWidth="1"/>
    <col min="2" max="2" width="45.00390625" style="24" customWidth="1"/>
    <col min="3" max="3" width="14.00390625" style="24" customWidth="1"/>
    <col min="4" max="4" width="15.75390625" style="24" hidden="1" customWidth="1" outlineLevel="1"/>
    <col min="5" max="5" width="16.375" style="24" hidden="1" customWidth="1" outlineLevel="1"/>
    <col min="6" max="6" width="15.875" style="24" hidden="1" customWidth="1" outlineLevel="1"/>
    <col min="7" max="10" width="14.00390625" style="24" hidden="1" customWidth="1" outlineLevel="1"/>
    <col min="11" max="11" width="15.75390625" style="24" hidden="1" customWidth="1" outlineLevel="1"/>
    <col min="12" max="12" width="14.00390625" style="24" hidden="1" customWidth="1" outlineLevel="1"/>
    <col min="13" max="13" width="15.75390625" style="24" hidden="1" customWidth="1" outlineLevel="1" collapsed="1"/>
    <col min="14" max="14" width="15.875" style="24" hidden="1" customWidth="1" outlineLevel="1"/>
    <col min="15" max="15" width="16.625" style="24" hidden="1" customWidth="1" outlineLevel="1"/>
    <col min="16" max="16" width="16.00390625" style="24" hidden="1" customWidth="1" outlineLevel="1"/>
    <col min="17" max="17" width="16.75390625" style="24" hidden="1" customWidth="1" outlineLevel="1"/>
    <col min="18" max="18" width="15.25390625" style="24" hidden="1" customWidth="1" outlineLevel="1"/>
    <col min="19" max="19" width="16.75390625" style="24" hidden="1" customWidth="1" outlineLevel="1"/>
    <col min="20" max="20" width="16.00390625" style="24" hidden="1" customWidth="1" outlineLevel="1"/>
    <col min="21" max="21" width="13.125" style="24" hidden="1" customWidth="1" outlineLevel="1"/>
    <col min="22" max="22" width="18.875" style="24" customWidth="1" collapsed="1"/>
    <col min="23" max="23" width="15.125" style="24" customWidth="1"/>
    <col min="24" max="24" width="13.625" style="24" hidden="1" customWidth="1" outlineLevel="1"/>
    <col min="25" max="25" width="15.25390625" style="24" customWidth="1" collapsed="1"/>
    <col min="26" max="26" width="15.25390625" style="24" customWidth="1"/>
    <col min="27" max="27" width="14.875" style="24" hidden="1" customWidth="1" outlineLevel="1"/>
    <col min="28" max="28" width="18.00390625" style="24" customWidth="1" collapsed="1"/>
    <col min="29" max="29" width="15.625" style="24" customWidth="1"/>
    <col min="30" max="30" width="15.875" style="24" hidden="1" customWidth="1" outlineLevel="1"/>
    <col min="31" max="31" width="9.125" style="24" customWidth="1" collapsed="1"/>
    <col min="32" max="16384" width="9.125" style="24" customWidth="1"/>
  </cols>
  <sheetData>
    <row r="1" spans="8:29" ht="54" customHeight="1" hidden="1" outlineLevel="1">
      <c r="H1" s="154" t="s">
        <v>89</v>
      </c>
      <c r="I1" s="154"/>
      <c r="J1" s="154"/>
      <c r="K1" s="154"/>
      <c r="Q1" s="154" t="s">
        <v>89</v>
      </c>
      <c r="R1" s="154"/>
      <c r="S1" s="154"/>
      <c r="T1" s="154"/>
      <c r="Z1" s="154" t="s">
        <v>89</v>
      </c>
      <c r="AA1" s="154"/>
      <c r="AB1" s="154"/>
      <c r="AC1" s="154"/>
    </row>
    <row r="2" ht="15.75" collapsed="1"/>
    <row r="3" spans="1:30" ht="16.5" customHeight="1">
      <c r="A3" s="155" t="s">
        <v>90</v>
      </c>
      <c r="B3" s="155"/>
      <c r="C3" s="155"/>
      <c r="D3" s="155"/>
      <c r="E3" s="155"/>
      <c r="F3" s="155"/>
      <c r="G3" s="155"/>
      <c r="H3" s="155"/>
      <c r="I3" s="155"/>
      <c r="J3" s="155"/>
      <c r="K3" s="155"/>
      <c r="L3" s="155"/>
      <c r="M3" s="155"/>
      <c r="N3" s="155"/>
      <c r="O3" s="155"/>
      <c r="P3" s="155"/>
      <c r="Q3" s="155"/>
      <c r="R3" s="155"/>
      <c r="S3" s="155"/>
      <c r="T3" s="155"/>
      <c r="U3" s="155"/>
      <c r="V3" s="117"/>
      <c r="W3" s="117"/>
      <c r="X3" s="117"/>
      <c r="Y3" s="117"/>
      <c r="Z3" s="117"/>
      <c r="AA3" s="117"/>
      <c r="AB3" s="117"/>
      <c r="AC3" s="117"/>
      <c r="AD3" s="117"/>
    </row>
    <row r="4" spans="1:30" ht="15.75">
      <c r="A4" s="182" t="s">
        <v>197</v>
      </c>
      <c r="B4" s="182"/>
      <c r="C4" s="182"/>
      <c r="D4" s="182"/>
      <c r="E4" s="182"/>
      <c r="F4" s="182"/>
      <c r="G4" s="182"/>
      <c r="H4" s="182"/>
      <c r="I4" s="182"/>
      <c r="J4" s="182"/>
      <c r="K4" s="182"/>
      <c r="L4" s="182"/>
      <c r="M4" s="182"/>
      <c r="N4" s="182"/>
      <c r="O4" s="182"/>
      <c r="P4" s="182"/>
      <c r="Q4" s="182"/>
      <c r="R4" s="182"/>
      <c r="S4" s="182"/>
      <c r="T4" s="182"/>
      <c r="U4" s="182"/>
      <c r="V4" s="118"/>
      <c r="W4" s="118"/>
      <c r="X4" s="118"/>
      <c r="Y4" s="118"/>
      <c r="Z4" s="118"/>
      <c r="AA4" s="118"/>
      <c r="AB4" s="118"/>
      <c r="AC4" s="118"/>
      <c r="AD4" s="118"/>
    </row>
    <row r="5" spans="1:30" ht="15.7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row>
    <row r="6" spans="1:30" s="8" customFormat="1" ht="60.75" customHeight="1">
      <c r="A6" s="153" t="s">
        <v>53</v>
      </c>
      <c r="B6" s="153" t="s">
        <v>0</v>
      </c>
      <c r="C6" s="153" t="s">
        <v>91</v>
      </c>
      <c r="D6" s="153" t="s">
        <v>92</v>
      </c>
      <c r="E6" s="153"/>
      <c r="F6" s="7"/>
      <c r="G6" s="153" t="s">
        <v>93</v>
      </c>
      <c r="H6" s="153"/>
      <c r="I6" s="7"/>
      <c r="J6" s="153" t="s">
        <v>94</v>
      </c>
      <c r="K6" s="153"/>
      <c r="L6" s="15"/>
      <c r="M6" s="153" t="s">
        <v>92</v>
      </c>
      <c r="N6" s="153"/>
      <c r="O6" s="7"/>
      <c r="P6" s="183" t="s">
        <v>93</v>
      </c>
      <c r="Q6" s="184"/>
      <c r="R6" s="7"/>
      <c r="S6" s="183" t="s">
        <v>94</v>
      </c>
      <c r="T6" s="184"/>
      <c r="U6" s="15"/>
      <c r="V6" s="153" t="s">
        <v>92</v>
      </c>
      <c r="W6" s="153"/>
      <c r="X6" s="7"/>
      <c r="Y6" s="153" t="s">
        <v>93</v>
      </c>
      <c r="Z6" s="153"/>
      <c r="AA6" s="7"/>
      <c r="AB6" s="153" t="s">
        <v>94</v>
      </c>
      <c r="AC6" s="153"/>
      <c r="AD6" s="15"/>
    </row>
    <row r="7" spans="1:30" s="76" customFormat="1" ht="30" customHeight="1">
      <c r="A7" s="153"/>
      <c r="B7" s="153"/>
      <c r="C7" s="153"/>
      <c r="D7" s="7" t="s">
        <v>95</v>
      </c>
      <c r="E7" s="7" t="s">
        <v>96</v>
      </c>
      <c r="F7" s="7" t="s">
        <v>174</v>
      </c>
      <c r="G7" s="7" t="s">
        <v>95</v>
      </c>
      <c r="H7" s="7" t="s">
        <v>96</v>
      </c>
      <c r="I7" s="7" t="s">
        <v>174</v>
      </c>
      <c r="J7" s="7" t="s">
        <v>95</v>
      </c>
      <c r="K7" s="7" t="s">
        <v>96</v>
      </c>
      <c r="L7" s="75" t="s">
        <v>174</v>
      </c>
      <c r="M7" s="7" t="s">
        <v>95</v>
      </c>
      <c r="N7" s="7" t="s">
        <v>96</v>
      </c>
      <c r="O7" s="7" t="s">
        <v>174</v>
      </c>
      <c r="P7" s="7" t="s">
        <v>95</v>
      </c>
      <c r="Q7" s="7" t="s">
        <v>96</v>
      </c>
      <c r="R7" s="7" t="s">
        <v>174</v>
      </c>
      <c r="S7" s="7" t="s">
        <v>95</v>
      </c>
      <c r="T7" s="7" t="s">
        <v>96</v>
      </c>
      <c r="U7" s="75" t="s">
        <v>174</v>
      </c>
      <c r="V7" s="7" t="s">
        <v>95</v>
      </c>
      <c r="W7" s="7" t="s">
        <v>96</v>
      </c>
      <c r="X7" s="7" t="s">
        <v>174</v>
      </c>
      <c r="Y7" s="7" t="s">
        <v>95</v>
      </c>
      <c r="Z7" s="7" t="s">
        <v>96</v>
      </c>
      <c r="AA7" s="7" t="s">
        <v>174</v>
      </c>
      <c r="AB7" s="7" t="s">
        <v>95</v>
      </c>
      <c r="AC7" s="7" t="s">
        <v>96</v>
      </c>
      <c r="AD7" s="75" t="s">
        <v>174</v>
      </c>
    </row>
    <row r="8" spans="1:30" s="76" customFormat="1" ht="12.75" customHeight="1" hidden="1" outlineLevel="1">
      <c r="A8" s="7"/>
      <c r="B8" s="7"/>
      <c r="C8" s="7"/>
      <c r="D8" s="153" t="s">
        <v>188</v>
      </c>
      <c r="E8" s="153"/>
      <c r="F8" s="7"/>
      <c r="G8" s="153" t="s">
        <v>189</v>
      </c>
      <c r="H8" s="153"/>
      <c r="I8" s="7"/>
      <c r="J8" s="153" t="s">
        <v>190</v>
      </c>
      <c r="K8" s="153"/>
      <c r="L8" s="77"/>
      <c r="M8" s="153" t="s">
        <v>189</v>
      </c>
      <c r="N8" s="153"/>
      <c r="O8" s="7"/>
      <c r="P8" s="183" t="s">
        <v>190</v>
      </c>
      <c r="Q8" s="184"/>
      <c r="R8" s="7"/>
      <c r="S8" s="183" t="s">
        <v>191</v>
      </c>
      <c r="T8" s="184"/>
      <c r="U8" s="77"/>
      <c r="V8" s="156" t="s">
        <v>190</v>
      </c>
      <c r="W8" s="156"/>
      <c r="X8" s="119"/>
      <c r="Y8" s="156" t="s">
        <v>191</v>
      </c>
      <c r="Z8" s="156"/>
      <c r="AA8" s="119"/>
      <c r="AB8" s="156" t="s">
        <v>200</v>
      </c>
      <c r="AC8" s="156"/>
      <c r="AD8" s="77"/>
    </row>
    <row r="9" spans="1:30" s="76" customFormat="1" ht="28.5" customHeight="1" collapsed="1">
      <c r="A9" s="7" t="s">
        <v>2</v>
      </c>
      <c r="B9" s="78" t="s">
        <v>97</v>
      </c>
      <c r="C9" s="7"/>
      <c r="D9" s="79"/>
      <c r="E9" s="79"/>
      <c r="F9" s="79"/>
      <c r="G9" s="79"/>
      <c r="H9" s="79"/>
      <c r="I9" s="79"/>
      <c r="J9" s="79"/>
      <c r="K9" s="79"/>
      <c r="L9" s="77"/>
      <c r="M9" s="77"/>
      <c r="N9" s="77"/>
      <c r="O9" s="77"/>
      <c r="P9" s="77"/>
      <c r="Q9" s="77"/>
      <c r="R9" s="77"/>
      <c r="S9" s="77"/>
      <c r="T9" s="77"/>
      <c r="U9" s="77"/>
      <c r="V9" s="77"/>
      <c r="W9" s="77"/>
      <c r="X9" s="77"/>
      <c r="Y9" s="77"/>
      <c r="Z9" s="77"/>
      <c r="AA9" s="77"/>
      <c r="AB9" s="77"/>
      <c r="AC9" s="77"/>
      <c r="AD9" s="77"/>
    </row>
    <row r="10" spans="1:30" s="76" customFormat="1" ht="30.75" customHeight="1" hidden="1" outlineLevel="1">
      <c r="A10" s="7" t="s">
        <v>4</v>
      </c>
      <c r="B10" s="78" t="s">
        <v>98</v>
      </c>
      <c r="C10" s="7"/>
      <c r="D10" s="103">
        <v>0</v>
      </c>
      <c r="E10" s="103">
        <v>0</v>
      </c>
      <c r="F10" s="103">
        <v>0</v>
      </c>
      <c r="G10" s="103">
        <v>0</v>
      </c>
      <c r="H10" s="103">
        <v>0</v>
      </c>
      <c r="I10" s="103">
        <v>0</v>
      </c>
      <c r="J10" s="103">
        <v>0</v>
      </c>
      <c r="K10" s="103">
        <v>0</v>
      </c>
      <c r="L10" s="104">
        <v>0</v>
      </c>
      <c r="M10" s="104">
        <v>0</v>
      </c>
      <c r="N10" s="104">
        <v>0</v>
      </c>
      <c r="O10" s="104">
        <v>0</v>
      </c>
      <c r="P10" s="104">
        <v>0</v>
      </c>
      <c r="Q10" s="104">
        <v>0</v>
      </c>
      <c r="R10" s="104">
        <v>0</v>
      </c>
      <c r="S10" s="104">
        <v>0</v>
      </c>
      <c r="T10" s="104">
        <v>0</v>
      </c>
      <c r="U10" s="104">
        <v>0</v>
      </c>
      <c r="V10" s="104">
        <v>0</v>
      </c>
      <c r="W10" s="104">
        <v>0</v>
      </c>
      <c r="X10" s="104">
        <v>0</v>
      </c>
      <c r="Y10" s="104">
        <v>0</v>
      </c>
      <c r="Z10" s="104">
        <v>0</v>
      </c>
      <c r="AA10" s="104">
        <v>0</v>
      </c>
      <c r="AB10" s="104">
        <v>0</v>
      </c>
      <c r="AC10" s="104">
        <v>0</v>
      </c>
      <c r="AD10" s="104">
        <v>0</v>
      </c>
    </row>
    <row r="11" spans="1:30" s="76" customFormat="1" ht="173.25" customHeight="1" hidden="1" outlineLevel="1">
      <c r="A11" s="7"/>
      <c r="B11" s="78" t="s">
        <v>194</v>
      </c>
      <c r="C11" s="7" t="s">
        <v>99</v>
      </c>
      <c r="D11" s="103">
        <v>0</v>
      </c>
      <c r="E11" s="103">
        <v>0</v>
      </c>
      <c r="F11" s="103">
        <v>0</v>
      </c>
      <c r="G11" s="103">
        <v>0</v>
      </c>
      <c r="H11" s="103">
        <v>0</v>
      </c>
      <c r="I11" s="103">
        <v>0</v>
      </c>
      <c r="J11" s="103">
        <v>0</v>
      </c>
      <c r="K11" s="103">
        <v>0</v>
      </c>
      <c r="L11" s="104">
        <v>0</v>
      </c>
      <c r="M11" s="104">
        <v>0</v>
      </c>
      <c r="N11" s="104">
        <v>0</v>
      </c>
      <c r="O11" s="104">
        <v>0</v>
      </c>
      <c r="P11" s="104">
        <v>0</v>
      </c>
      <c r="Q11" s="104">
        <v>0</v>
      </c>
      <c r="R11" s="104">
        <v>0</v>
      </c>
      <c r="S11" s="104">
        <v>0</v>
      </c>
      <c r="T11" s="104">
        <v>0</v>
      </c>
      <c r="U11" s="104">
        <v>0</v>
      </c>
      <c r="V11" s="104">
        <v>0</v>
      </c>
      <c r="W11" s="104">
        <v>0</v>
      </c>
      <c r="X11" s="104">
        <v>0</v>
      </c>
      <c r="Y11" s="104">
        <v>0</v>
      </c>
      <c r="Z11" s="104">
        <v>0</v>
      </c>
      <c r="AA11" s="104">
        <v>0</v>
      </c>
      <c r="AB11" s="104">
        <v>0</v>
      </c>
      <c r="AC11" s="104">
        <v>0</v>
      </c>
      <c r="AD11" s="104">
        <v>0</v>
      </c>
    </row>
    <row r="12" spans="1:30" s="76" customFormat="1" ht="184.5" customHeight="1" hidden="1" outlineLevel="1">
      <c r="A12" s="7"/>
      <c r="B12" s="80" t="s">
        <v>195</v>
      </c>
      <c r="C12" s="7" t="s">
        <v>100</v>
      </c>
      <c r="D12" s="103">
        <v>0</v>
      </c>
      <c r="E12" s="103">
        <v>0</v>
      </c>
      <c r="F12" s="103">
        <v>0</v>
      </c>
      <c r="G12" s="103">
        <v>0</v>
      </c>
      <c r="H12" s="103">
        <v>0</v>
      </c>
      <c r="I12" s="103">
        <v>0</v>
      </c>
      <c r="J12" s="103">
        <v>0</v>
      </c>
      <c r="K12" s="103">
        <v>0</v>
      </c>
      <c r="L12" s="104">
        <v>0</v>
      </c>
      <c r="M12" s="104">
        <v>0</v>
      </c>
      <c r="N12" s="104">
        <v>0</v>
      </c>
      <c r="O12" s="104">
        <v>0</v>
      </c>
      <c r="P12" s="104">
        <v>0</v>
      </c>
      <c r="Q12" s="104">
        <v>0</v>
      </c>
      <c r="R12" s="104">
        <v>0</v>
      </c>
      <c r="S12" s="104">
        <v>0</v>
      </c>
      <c r="T12" s="104">
        <v>0</v>
      </c>
      <c r="U12" s="104">
        <v>0</v>
      </c>
      <c r="V12" s="104">
        <v>0</v>
      </c>
      <c r="W12" s="104">
        <v>0</v>
      </c>
      <c r="X12" s="104">
        <v>0</v>
      </c>
      <c r="Y12" s="104">
        <v>0</v>
      </c>
      <c r="Z12" s="104">
        <v>0</v>
      </c>
      <c r="AA12" s="104">
        <v>0</v>
      </c>
      <c r="AB12" s="104">
        <v>0</v>
      </c>
      <c r="AC12" s="104">
        <v>0</v>
      </c>
      <c r="AD12" s="104">
        <v>0</v>
      </c>
    </row>
    <row r="13" spans="1:30" s="76" customFormat="1" ht="39" customHeight="1" collapsed="1">
      <c r="A13" s="7" t="s">
        <v>7</v>
      </c>
      <c r="B13" s="78" t="s">
        <v>101</v>
      </c>
      <c r="C13" s="7"/>
      <c r="D13" s="79"/>
      <c r="E13" s="79"/>
      <c r="F13" s="79"/>
      <c r="G13" s="79"/>
      <c r="H13" s="79"/>
      <c r="I13" s="79"/>
      <c r="J13" s="79"/>
      <c r="K13" s="79"/>
      <c r="L13" s="77"/>
      <c r="M13" s="77"/>
      <c r="N13" s="77"/>
      <c r="O13" s="77"/>
      <c r="P13" s="77"/>
      <c r="Q13" s="77"/>
      <c r="R13" s="77"/>
      <c r="S13" s="77"/>
      <c r="T13" s="77"/>
      <c r="U13" s="77"/>
      <c r="V13" s="77"/>
      <c r="W13" s="77"/>
      <c r="X13" s="77"/>
      <c r="Y13" s="77"/>
      <c r="Z13" s="77"/>
      <c r="AA13" s="77"/>
      <c r="AB13" s="77"/>
      <c r="AC13" s="77"/>
      <c r="AD13" s="77"/>
    </row>
    <row r="14" spans="1:30" s="76" customFormat="1" ht="25.5" customHeight="1">
      <c r="A14" s="7"/>
      <c r="B14" s="78" t="s">
        <v>102</v>
      </c>
      <c r="C14" s="7"/>
      <c r="D14" s="79"/>
      <c r="E14" s="79"/>
      <c r="F14" s="79"/>
      <c r="G14" s="79"/>
      <c r="H14" s="79"/>
      <c r="I14" s="79"/>
      <c r="J14" s="79"/>
      <c r="K14" s="79"/>
      <c r="L14" s="77"/>
      <c r="M14" s="77"/>
      <c r="N14" s="77"/>
      <c r="O14" s="77"/>
      <c r="P14" s="77"/>
      <c r="Q14" s="77"/>
      <c r="R14" s="77"/>
      <c r="S14" s="77"/>
      <c r="T14" s="77"/>
      <c r="U14" s="77"/>
      <c r="V14" s="77"/>
      <c r="W14" s="77"/>
      <c r="X14" s="77"/>
      <c r="Y14" s="77"/>
      <c r="Z14" s="77"/>
      <c r="AA14" s="77"/>
      <c r="AB14" s="77"/>
      <c r="AC14" s="77"/>
      <c r="AD14" s="77"/>
    </row>
    <row r="15" spans="1:30" s="76" customFormat="1" ht="31.5" customHeight="1">
      <c r="A15" s="7"/>
      <c r="B15" s="78" t="s">
        <v>103</v>
      </c>
      <c r="C15" s="7" t="s">
        <v>99</v>
      </c>
      <c r="D15" s="106">
        <f>D16/D17/6*1000</f>
        <v>282676.91311623674</v>
      </c>
      <c r="E15" s="106">
        <f>E16/E17/6*1000</f>
        <v>331550.98326233285</v>
      </c>
      <c r="F15" s="104">
        <f>F16/F17/12</f>
        <v>307.1139481892848</v>
      </c>
      <c r="G15" s="106">
        <f>G16/G17/6*1000</f>
        <v>312658.7753188493</v>
      </c>
      <c r="H15" s="106">
        <f>H16/H17/6*1000</f>
        <v>307086.8859618208</v>
      </c>
      <c r="I15" s="104">
        <f>I16/I17/12</f>
        <v>309.87283064033505</v>
      </c>
      <c r="J15" s="106">
        <f>J16/J17/6*1000</f>
        <v>325274.59485369886</v>
      </c>
      <c r="K15" s="106">
        <f>K16/K17/6*1000</f>
        <v>392460.7218941851</v>
      </c>
      <c r="L15" s="104">
        <f>L16/L17/12</f>
        <v>358.86765837394205</v>
      </c>
      <c r="M15" s="106">
        <f>M16/M17/6*1000</f>
        <v>282676.91311623674</v>
      </c>
      <c r="N15" s="106">
        <f>N16/N17/6*1000</f>
        <v>331550.98326233285</v>
      </c>
      <c r="O15" s="104">
        <f>O16/O17/12</f>
        <v>307.1139481892848</v>
      </c>
      <c r="P15" s="106">
        <f>P16/P17/6*1000</f>
        <v>312658.7753188493</v>
      </c>
      <c r="Q15" s="106">
        <f>Q16/Q17/6*1000</f>
        <v>307086.8859618208</v>
      </c>
      <c r="R15" s="104">
        <f>R16/R17/12</f>
        <v>309.87283064033505</v>
      </c>
      <c r="S15" s="106">
        <f>S16/S17/6*1000</f>
        <v>325274.59485369886</v>
      </c>
      <c r="T15" s="106">
        <f>T16/T17/6*1000</f>
        <v>392460.7218941851</v>
      </c>
      <c r="U15" s="104">
        <f>U16/U17/12</f>
        <v>358.86765837394205</v>
      </c>
      <c r="V15" s="106">
        <f>V16/V17/6*1000</f>
        <v>367336.04818060104</v>
      </c>
      <c r="W15" s="106">
        <f>W16/W17/6*1000</f>
        <v>370946.91379812156</v>
      </c>
      <c r="X15" s="104">
        <f>X16/X17/12</f>
        <v>369.14148098936124</v>
      </c>
      <c r="Y15" s="106">
        <f>Y16/Y17/6*1000</f>
        <v>352218.64775240596</v>
      </c>
      <c r="Z15" s="106">
        <f>Z16/Z17/6*1000</f>
        <v>274912.1080897687</v>
      </c>
      <c r="AA15" s="104">
        <f>AA16/AA17/12</f>
        <v>313.5653779210873</v>
      </c>
      <c r="AB15" s="106">
        <f>AB16/AB17/6*1000</f>
        <v>311380.04066620365</v>
      </c>
      <c r="AC15" s="106">
        <f>AC16/AC17/6*1000</f>
        <v>640122.3432323044</v>
      </c>
      <c r="AD15" s="104">
        <f>AD16/AD17/12</f>
        <v>475.75119194925406</v>
      </c>
    </row>
    <row r="16" spans="1:30" s="76" customFormat="1" ht="25.5" customHeight="1" hidden="1" outlineLevel="1">
      <c r="A16" s="7"/>
      <c r="B16" s="78" t="s">
        <v>162</v>
      </c>
      <c r="C16" s="7"/>
      <c r="D16" s="82">
        <f>D27+D26</f>
        <v>65094.839552407</v>
      </c>
      <c r="E16" s="82">
        <f>E27+E26</f>
        <v>76349.56042565001</v>
      </c>
      <c r="F16" s="82">
        <f>E16+D16</f>
        <v>141444.39997805702</v>
      </c>
      <c r="G16" s="82">
        <f>G27+G26</f>
        <v>73143.39389809161</v>
      </c>
      <c r="H16" s="82">
        <f>H27+H26</f>
        <v>71839.90610190836</v>
      </c>
      <c r="I16" s="82">
        <f>H16+G16</f>
        <v>144983.3</v>
      </c>
      <c r="J16" s="82">
        <f>J27+J26</f>
        <v>76094.73872007433</v>
      </c>
      <c r="K16" s="82">
        <f>K27+K26</f>
        <v>91812.26127992567</v>
      </c>
      <c r="L16" s="106">
        <f>K16+J16</f>
        <v>167907</v>
      </c>
      <c r="M16" s="82">
        <f>M27+M26</f>
        <v>65094.839552407</v>
      </c>
      <c r="N16" s="82">
        <f>N27+N26</f>
        <v>76349.56042565001</v>
      </c>
      <c r="O16" s="106">
        <f>N16+M16</f>
        <v>141444.39997805702</v>
      </c>
      <c r="P16" s="82">
        <f>P27+P26</f>
        <v>73143.39389809161</v>
      </c>
      <c r="Q16" s="82">
        <f>Q27+Q26</f>
        <v>71839.90610190836</v>
      </c>
      <c r="R16" s="106">
        <f>Q16+P16</f>
        <v>144983.3</v>
      </c>
      <c r="S16" s="82">
        <f>S27+S26</f>
        <v>76094.73872007433</v>
      </c>
      <c r="T16" s="82">
        <f>T27+T26</f>
        <v>91812.26127992567</v>
      </c>
      <c r="U16" s="106">
        <f>T16+S16</f>
        <v>167907</v>
      </c>
      <c r="V16" s="82">
        <f>V27+V26</f>
        <v>85823.51269039999</v>
      </c>
      <c r="W16" s="82">
        <f>W27+W26</f>
        <v>86667.1466672</v>
      </c>
      <c r="X16" s="82">
        <f>W16+V16</f>
        <v>172490.65935759997</v>
      </c>
      <c r="Y16" s="82">
        <f>Y27+Y26</f>
        <v>101586.90238474892</v>
      </c>
      <c r="Z16" s="82">
        <f>Z27+Z26</f>
        <v>79290.15021525108</v>
      </c>
      <c r="AA16" s="82">
        <f>Z16+Y16</f>
        <v>180877.0526</v>
      </c>
      <c r="AB16" s="82">
        <f>AB27+AB26</f>
        <v>85567.23517507277</v>
      </c>
      <c r="AC16" s="82">
        <f>AC27+AC26</f>
        <v>175905.61992023725</v>
      </c>
      <c r="AD16" s="106">
        <f>AC16+AB16</f>
        <v>261472.85509531002</v>
      </c>
    </row>
    <row r="17" spans="1:30" s="76" customFormat="1" ht="25.5" customHeight="1" hidden="1" outlineLevel="1">
      <c r="A17" s="7"/>
      <c r="B17" s="78" t="s">
        <v>163</v>
      </c>
      <c r="C17" s="7"/>
      <c r="D17" s="83">
        <f>'передача Северк'!D19</f>
        <v>38.38</v>
      </c>
      <c r="E17" s="83">
        <f>D17</f>
        <v>38.38</v>
      </c>
      <c r="F17" s="83">
        <f>E17</f>
        <v>38.38</v>
      </c>
      <c r="G17" s="83">
        <f>'передача Северк'!E19</f>
        <v>38.99</v>
      </c>
      <c r="H17" s="83">
        <f>G17</f>
        <v>38.99</v>
      </c>
      <c r="I17" s="83">
        <f>H17</f>
        <v>38.99</v>
      </c>
      <c r="J17" s="83">
        <f>'передача Северк'!F19</f>
        <v>38.99</v>
      </c>
      <c r="K17" s="83">
        <f>J17</f>
        <v>38.99</v>
      </c>
      <c r="L17" s="107">
        <f>K17</f>
        <v>38.99</v>
      </c>
      <c r="M17" s="83">
        <v>38.38</v>
      </c>
      <c r="N17" s="83">
        <v>38.38</v>
      </c>
      <c r="O17" s="83">
        <v>38.38</v>
      </c>
      <c r="P17" s="83">
        <v>38.99</v>
      </c>
      <c r="Q17" s="83">
        <v>38.99</v>
      </c>
      <c r="R17" s="83">
        <v>38.99</v>
      </c>
      <c r="S17" s="83">
        <v>38.99</v>
      </c>
      <c r="T17" s="83">
        <v>38.99</v>
      </c>
      <c r="U17" s="107">
        <v>38.99</v>
      </c>
      <c r="V17" s="83">
        <f>'передача Северк'!J19</f>
        <v>38.9396</v>
      </c>
      <c r="W17" s="83">
        <f>V17</f>
        <v>38.9396</v>
      </c>
      <c r="X17" s="83">
        <f>W17</f>
        <v>38.9396</v>
      </c>
      <c r="Y17" s="83">
        <f>'передача Северк'!K19</f>
        <v>48.07</v>
      </c>
      <c r="Z17" s="83">
        <f>Y17</f>
        <v>48.07</v>
      </c>
      <c r="AA17" s="83">
        <f>Z17</f>
        <v>48.07</v>
      </c>
      <c r="AB17" s="83">
        <f>'передача Северк'!L19</f>
        <v>45.8</v>
      </c>
      <c r="AC17" s="83">
        <f>AB17</f>
        <v>45.8</v>
      </c>
      <c r="AD17" s="83">
        <f>AC17</f>
        <v>45.8</v>
      </c>
    </row>
    <row r="18" spans="1:30" s="76" customFormat="1" ht="38.25" customHeight="1" collapsed="1">
      <c r="A18" s="7"/>
      <c r="B18" s="78" t="s">
        <v>104</v>
      </c>
      <c r="C18" s="7" t="s">
        <v>100</v>
      </c>
      <c r="D18" s="104">
        <f aca="true" t="shared" si="0" ref="D18:L18">D19/D22*1000</f>
        <v>202.3091982386628</v>
      </c>
      <c r="E18" s="104">
        <f t="shared" si="0"/>
        <v>172.9457159154252</v>
      </c>
      <c r="F18" s="104">
        <f t="shared" si="0"/>
        <v>188.05637500840945</v>
      </c>
      <c r="G18" s="104">
        <f t="shared" si="0"/>
        <v>244.4488463967728</v>
      </c>
      <c r="H18" s="104">
        <f t="shared" si="0"/>
        <v>222.45560168497778</v>
      </c>
      <c r="I18" s="104">
        <f t="shared" si="0"/>
        <v>233.74378261170463</v>
      </c>
      <c r="J18" s="104">
        <f t="shared" si="0"/>
        <v>217.03821443075674</v>
      </c>
      <c r="K18" s="104">
        <f t="shared" si="0"/>
        <v>278.0750490723739</v>
      </c>
      <c r="L18" s="107">
        <f t="shared" si="0"/>
        <v>246.53718535649176</v>
      </c>
      <c r="M18" s="104">
        <v>202.3091982386628</v>
      </c>
      <c r="N18" s="104">
        <v>172.9457159154252</v>
      </c>
      <c r="O18" s="104">
        <v>188.05637500840945</v>
      </c>
      <c r="P18" s="104">
        <v>244.4488463967728</v>
      </c>
      <c r="Q18" s="104">
        <v>222.45560168497778</v>
      </c>
      <c r="R18" s="104">
        <v>233.74378261170463</v>
      </c>
      <c r="S18" s="104">
        <v>217.03821443075674</v>
      </c>
      <c r="T18" s="104">
        <v>278.0750490723739</v>
      </c>
      <c r="U18" s="107">
        <v>246.53718535649176</v>
      </c>
      <c r="V18" s="104">
        <f aca="true" t="shared" si="1" ref="V18:AD18">V19/V22*1000</f>
        <v>123.6371735135606</v>
      </c>
      <c r="W18" s="104">
        <f t="shared" si="1"/>
        <v>175.36521418691066</v>
      </c>
      <c r="X18" s="104">
        <f t="shared" si="1"/>
        <v>148.65396949719994</v>
      </c>
      <c r="Y18" s="104">
        <f t="shared" si="1"/>
        <v>138.97227541492103</v>
      </c>
      <c r="Z18" s="104">
        <f t="shared" si="1"/>
        <v>286.8698248324749</v>
      </c>
      <c r="AA18" s="104">
        <f t="shared" si="1"/>
        <v>210.90479744680852</v>
      </c>
      <c r="AB18" s="104">
        <f t="shared" si="1"/>
        <v>214.980434386903</v>
      </c>
      <c r="AC18" s="104">
        <f t="shared" si="1"/>
        <v>178.99138201550116</v>
      </c>
      <c r="AD18" s="107">
        <f t="shared" si="1"/>
        <v>197.2742950213182</v>
      </c>
    </row>
    <row r="19" spans="1:30" s="76" customFormat="1" ht="38.25" customHeight="1" hidden="1" outlineLevel="1">
      <c r="A19" s="7"/>
      <c r="B19" s="78" t="s">
        <v>162</v>
      </c>
      <c r="C19" s="7"/>
      <c r="D19" s="84">
        <f>D20*D21/1000</f>
        <v>24026.83679034</v>
      </c>
      <c r="E19" s="84">
        <f>+E20*E21/1000</f>
        <v>19373.508114350003</v>
      </c>
      <c r="F19" s="85">
        <f>E19+D19</f>
        <v>43400.344904690006</v>
      </c>
      <c r="G19" s="84">
        <f>G20*G21/1000</f>
        <v>29006.257110000002</v>
      </c>
      <c r="H19" s="84">
        <f>+H20*H21/1000</f>
        <v>25032.967991999998</v>
      </c>
      <c r="I19" s="85">
        <f>H19+G19</f>
        <v>54039.225102</v>
      </c>
      <c r="J19" s="84">
        <f>J20*J21/1000</f>
        <v>25652.180640000002</v>
      </c>
      <c r="K19" s="84">
        <f>+K20*K21/1000</f>
        <v>30741.47475</v>
      </c>
      <c r="L19" s="86">
        <f>K19+J19</f>
        <v>56393.65539</v>
      </c>
      <c r="M19" s="84">
        <v>24026.83679034</v>
      </c>
      <c r="N19" s="84">
        <v>19373.508114350003</v>
      </c>
      <c r="O19" s="85">
        <v>43400.344904690006</v>
      </c>
      <c r="P19" s="84">
        <v>29006.257110000002</v>
      </c>
      <c r="Q19" s="84">
        <v>25032.967991999998</v>
      </c>
      <c r="R19" s="85">
        <v>54039.225102</v>
      </c>
      <c r="S19" s="84">
        <v>25652.180640000002</v>
      </c>
      <c r="T19" s="84">
        <v>30741.47475</v>
      </c>
      <c r="U19" s="86">
        <v>56393.65539</v>
      </c>
      <c r="V19" s="84">
        <f>V20*V21/1000</f>
        <v>14168.187309600002</v>
      </c>
      <c r="W19" s="84">
        <f>+W20*W21/1000</f>
        <v>18821.1533328</v>
      </c>
      <c r="X19" s="85">
        <f>W19+V19</f>
        <v>32989.3406424</v>
      </c>
      <c r="Y19" s="84">
        <f>Y20*Y21/1000</f>
        <v>16774.46784</v>
      </c>
      <c r="Z19" s="84">
        <f>+Z20*Z21/1000</f>
        <v>32788.15956</v>
      </c>
      <c r="AA19" s="86">
        <f>Z19+Y19</f>
        <v>49562.6274</v>
      </c>
      <c r="AB19" s="84">
        <v>24026.83679034</v>
      </c>
      <c r="AC19" s="84">
        <v>19373.508114350003</v>
      </c>
      <c r="AD19" s="85">
        <v>43400.344904690006</v>
      </c>
    </row>
    <row r="20" spans="1:30" s="76" customFormat="1" ht="15" hidden="1" outlineLevel="1">
      <c r="A20" s="7"/>
      <c r="B20" s="78" t="s">
        <v>183</v>
      </c>
      <c r="C20" s="7" t="s">
        <v>185</v>
      </c>
      <c r="D20" s="87">
        <v>9711.462</v>
      </c>
      <c r="E20" s="87">
        <v>8242.117</v>
      </c>
      <c r="F20" s="85">
        <f>E20+D20</f>
        <v>17953.578999999998</v>
      </c>
      <c r="G20" s="87">
        <v>12340.2</v>
      </c>
      <c r="H20" s="87">
        <v>11727.9</v>
      </c>
      <c r="I20" s="85">
        <f>H20+G20</f>
        <v>24068.1</v>
      </c>
      <c r="J20" s="88">
        <v>12018</v>
      </c>
      <c r="K20" s="88">
        <v>11239</v>
      </c>
      <c r="L20" s="89">
        <f>K20+J20</f>
        <v>23257</v>
      </c>
      <c r="M20" s="87">
        <v>9711.462</v>
      </c>
      <c r="N20" s="87">
        <v>8242.117</v>
      </c>
      <c r="O20" s="85">
        <v>17953.578999999998</v>
      </c>
      <c r="P20" s="87">
        <v>12340.2</v>
      </c>
      <c r="Q20" s="87">
        <v>11727.9</v>
      </c>
      <c r="R20" s="89">
        <f>Q20+P20</f>
        <v>24068.1</v>
      </c>
      <c r="S20" s="88">
        <v>12018</v>
      </c>
      <c r="T20" s="88">
        <v>11239</v>
      </c>
      <c r="U20" s="89">
        <f>T20+S20</f>
        <v>23257</v>
      </c>
      <c r="V20" s="139">
        <v>6637.77</v>
      </c>
      <c r="W20" s="139">
        <v>9954.49</v>
      </c>
      <c r="X20" s="134">
        <f>W20+V20</f>
        <v>16592.260000000002</v>
      </c>
      <c r="Y20" s="139">
        <v>8872</v>
      </c>
      <c r="Z20" s="139">
        <f>AA20-Y20</f>
        <v>8400.5</v>
      </c>
      <c r="AA20" s="134">
        <v>17272.5</v>
      </c>
      <c r="AB20" s="133">
        <v>8872</v>
      </c>
      <c r="AC20" s="139">
        <f>AD20-AB20</f>
        <v>6638</v>
      </c>
      <c r="AD20" s="134">
        <v>15510</v>
      </c>
    </row>
    <row r="21" spans="1:30" s="76" customFormat="1" ht="36.75" customHeight="1" hidden="1" outlineLevel="1">
      <c r="A21" s="7"/>
      <c r="B21" s="78" t="s">
        <v>186</v>
      </c>
      <c r="C21" s="7" t="s">
        <v>184</v>
      </c>
      <c r="D21" s="84">
        <f>D42+D32</f>
        <v>2474.07</v>
      </c>
      <c r="E21" s="84">
        <f>E42+E32</f>
        <v>2350.55</v>
      </c>
      <c r="F21" s="84"/>
      <c r="G21" s="84">
        <f>G42+G32</f>
        <v>2350.55</v>
      </c>
      <c r="H21" s="84">
        <f>H42+H32</f>
        <v>2134.48</v>
      </c>
      <c r="I21" s="85"/>
      <c r="J21" s="84">
        <f>J42+J32</f>
        <v>2134.48</v>
      </c>
      <c r="K21" s="84">
        <f>K42+K32</f>
        <v>2735.25</v>
      </c>
      <c r="L21" s="86"/>
      <c r="M21" s="84">
        <f>M42+M32</f>
        <v>2474.07</v>
      </c>
      <c r="N21" s="84">
        <f>N42+N32</f>
        <v>2350.55</v>
      </c>
      <c r="O21" s="84"/>
      <c r="P21" s="84">
        <f>P42+P32</f>
        <v>2350.55</v>
      </c>
      <c r="Q21" s="84">
        <f>Q42+Q32</f>
        <v>2134.48</v>
      </c>
      <c r="R21" s="85"/>
      <c r="S21" s="84">
        <f>S42+S32</f>
        <v>2134.48</v>
      </c>
      <c r="T21" s="84">
        <f>T42+T32</f>
        <v>2735.25</v>
      </c>
      <c r="U21" s="86"/>
      <c r="V21" s="84">
        <f>V42+V32</f>
        <v>2134.48</v>
      </c>
      <c r="W21" s="151">
        <f aca="true" t="shared" si="2" ref="W21:AC21">W42+W32</f>
        <v>1890.72</v>
      </c>
      <c r="X21" s="84">
        <f t="shared" si="2"/>
        <v>0</v>
      </c>
      <c r="Y21" s="151">
        <f t="shared" si="2"/>
        <v>1890.72</v>
      </c>
      <c r="Z21" s="151">
        <f t="shared" si="2"/>
        <v>3903.12</v>
      </c>
      <c r="AA21" s="84">
        <f t="shared" si="2"/>
        <v>0</v>
      </c>
      <c r="AB21" s="151">
        <f t="shared" si="2"/>
        <v>3903.12</v>
      </c>
      <c r="AC21" s="151">
        <f t="shared" si="2"/>
        <v>6197.84152</v>
      </c>
      <c r="AD21" s="86"/>
    </row>
    <row r="22" spans="1:30" s="76" customFormat="1" ht="15" hidden="1" outlineLevel="1">
      <c r="A22" s="7"/>
      <c r="B22" s="78" t="s">
        <v>182</v>
      </c>
      <c r="C22" s="7"/>
      <c r="D22" s="108">
        <f>D28</f>
        <v>118762.948</v>
      </c>
      <c r="E22" s="108">
        <f>E28</f>
        <v>112020.74599999998</v>
      </c>
      <c r="F22" s="90">
        <f>E22+D22</f>
        <v>230783.694</v>
      </c>
      <c r="G22" s="108">
        <f>G28</f>
        <v>118659.82407999999</v>
      </c>
      <c r="H22" s="108">
        <f>H28</f>
        <v>112530.17592000001</v>
      </c>
      <c r="I22" s="90">
        <f>H22+G22</f>
        <v>231190</v>
      </c>
      <c r="J22" s="108">
        <f>J28</f>
        <v>118192</v>
      </c>
      <c r="K22" s="108">
        <f>K28</f>
        <v>110551</v>
      </c>
      <c r="L22" s="86">
        <f>K22+J22</f>
        <v>228743</v>
      </c>
      <c r="M22" s="108">
        <f>M28</f>
        <v>118762.948</v>
      </c>
      <c r="N22" s="108">
        <f>N28</f>
        <v>112020.74599999998</v>
      </c>
      <c r="O22" s="86">
        <f>N22+M22</f>
        <v>230783.694</v>
      </c>
      <c r="P22" s="108">
        <f>P28</f>
        <v>118659.82407999999</v>
      </c>
      <c r="Q22" s="108">
        <f>Q28</f>
        <v>112530.17592000001</v>
      </c>
      <c r="R22" s="86">
        <f>Q22+P22</f>
        <v>231190</v>
      </c>
      <c r="S22" s="108">
        <f>S28</f>
        <v>118192</v>
      </c>
      <c r="T22" s="108">
        <f>T28</f>
        <v>110551</v>
      </c>
      <c r="U22" s="86">
        <f>T22+S22</f>
        <v>228743</v>
      </c>
      <c r="V22" s="150">
        <f>V28</f>
        <v>114594.882</v>
      </c>
      <c r="W22" s="150">
        <f>W28</f>
        <v>107325.466</v>
      </c>
      <c r="X22" s="136">
        <f>W22+V22</f>
        <v>221920.348</v>
      </c>
      <c r="Y22" s="150">
        <f>Y28</f>
        <v>120703.7</v>
      </c>
      <c r="Z22" s="150">
        <f>Z28</f>
        <v>114296.3</v>
      </c>
      <c r="AA22" s="136">
        <f>Z22+Y22</f>
        <v>235000</v>
      </c>
      <c r="AB22" s="150">
        <f>AB28</f>
        <v>111762.9</v>
      </c>
      <c r="AC22" s="150">
        <f>AC28</f>
        <v>108237.1</v>
      </c>
      <c r="AD22" s="136">
        <f>AC22+AB22</f>
        <v>220000</v>
      </c>
    </row>
    <row r="23" spans="1:30" s="76" customFormat="1" ht="25.5" customHeight="1" collapsed="1">
      <c r="A23" s="7"/>
      <c r="B23" s="78" t="s">
        <v>105</v>
      </c>
      <c r="C23" s="7" t="s">
        <v>100</v>
      </c>
      <c r="D23" s="109">
        <f>D24/D28*1000</f>
        <v>750.4165048407774</v>
      </c>
      <c r="E23" s="109">
        <f>E24/E28*1000</f>
        <v>854.5119717378068</v>
      </c>
      <c r="F23" s="90">
        <f>F24/F28*1000</f>
        <v>800.9436961466914</v>
      </c>
      <c r="G23" s="109">
        <f>I23</f>
        <v>860.8613049958908</v>
      </c>
      <c r="H23" s="109">
        <f>I23</f>
        <v>860.8613049958908</v>
      </c>
      <c r="I23" s="90">
        <f>I24/I28*1000</f>
        <v>860.8613049958908</v>
      </c>
      <c r="J23" s="90">
        <f>H23</f>
        <v>860.8613049958908</v>
      </c>
      <c r="K23" s="90">
        <f>K24/K28*1000</f>
        <v>1108.5719353956604</v>
      </c>
      <c r="L23" s="110">
        <f>L24/L28*1000</f>
        <v>980.5793199791906</v>
      </c>
      <c r="M23" s="109">
        <f>M24/M28*1000</f>
        <v>750.4165048407774</v>
      </c>
      <c r="N23" s="109">
        <f>N24/N28*1000</f>
        <v>854.5119717378068</v>
      </c>
      <c r="O23" s="90">
        <f>O24/O28*1000</f>
        <v>800.9436961466914</v>
      </c>
      <c r="P23" s="109">
        <f>R23</f>
        <v>860.8613049958908</v>
      </c>
      <c r="Q23" s="109">
        <f>R23</f>
        <v>860.8613049958908</v>
      </c>
      <c r="R23" s="90">
        <f>R24/R28*1000</f>
        <v>860.8613049958908</v>
      </c>
      <c r="S23" s="90">
        <f>Q23</f>
        <v>860.8613049958908</v>
      </c>
      <c r="T23" s="90">
        <f aca="true" t="shared" si="3" ref="T23:AD23">T24/T28*1000</f>
        <v>1108.5719353956604</v>
      </c>
      <c r="U23" s="110">
        <f t="shared" si="3"/>
        <v>980.5793199791906</v>
      </c>
      <c r="V23" s="109">
        <f t="shared" si="3"/>
        <v>872.5668917744512</v>
      </c>
      <c r="W23" s="109">
        <f t="shared" si="3"/>
        <v>982.8822918877427</v>
      </c>
      <c r="X23" s="127">
        <f t="shared" si="3"/>
        <v>925.9177982183049</v>
      </c>
      <c r="Y23" s="109">
        <f>AA23</f>
        <v>980.5943829787234</v>
      </c>
      <c r="Z23" s="109">
        <f>AA23</f>
        <v>980.5943829787234</v>
      </c>
      <c r="AA23" s="127">
        <f t="shared" si="3"/>
        <v>980.5943829787234</v>
      </c>
      <c r="AB23" s="90">
        <f>Z23</f>
        <v>980.5943829787234</v>
      </c>
      <c r="AC23" s="90">
        <f>AC24/AC28*1000</f>
        <v>1804.179232763879</v>
      </c>
      <c r="AD23" s="128">
        <f t="shared" si="3"/>
        <v>1385.787272727273</v>
      </c>
    </row>
    <row r="24" spans="1:30" s="76" customFormat="1" ht="25.5" customHeight="1" hidden="1" outlineLevel="1">
      <c r="A24" s="7"/>
      <c r="B24" s="78" t="s">
        <v>162</v>
      </c>
      <c r="C24" s="7"/>
      <c r="D24" s="91">
        <v>89121.676342747</v>
      </c>
      <c r="E24" s="91">
        <v>95723.06854000002</v>
      </c>
      <c r="F24" s="86">
        <f>E24+D24</f>
        <v>184844.744882747</v>
      </c>
      <c r="G24" s="92">
        <f>G23*G28/1000</f>
        <v>102149.65100809162</v>
      </c>
      <c r="H24" s="92">
        <f>H23*H28/1000</f>
        <v>96872.87409390837</v>
      </c>
      <c r="I24" s="92">
        <f>'передача Северк'!E10</f>
        <v>199022.52510199999</v>
      </c>
      <c r="J24" s="92">
        <f>J23*J28/1000</f>
        <v>101746.91936007433</v>
      </c>
      <c r="K24" s="86">
        <f>L24-J24</f>
        <v>122553.73602992567</v>
      </c>
      <c r="L24" s="86">
        <f>L25+L26+L27</f>
        <v>224300.65539</v>
      </c>
      <c r="M24" s="91">
        <v>89121.676342747</v>
      </c>
      <c r="N24" s="91">
        <v>95723.06854000002</v>
      </c>
      <c r="O24" s="86">
        <v>184844.744882747</v>
      </c>
      <c r="P24" s="92">
        <v>102149.65100809162</v>
      </c>
      <c r="Q24" s="92">
        <v>96872.87409390837</v>
      </c>
      <c r="R24" s="92">
        <v>199022.52510199999</v>
      </c>
      <c r="S24" s="92">
        <v>101746.91936007433</v>
      </c>
      <c r="T24" s="86">
        <v>122553.73602992567</v>
      </c>
      <c r="U24" s="86">
        <v>224300.65539</v>
      </c>
      <c r="V24" s="137">
        <v>99991.7</v>
      </c>
      <c r="W24" s="137">
        <f>X24-V24</f>
        <v>105488.3</v>
      </c>
      <c r="X24" s="138">
        <v>205480</v>
      </c>
      <c r="Y24" s="92">
        <f>Y23*Y28/1000</f>
        <v>118361.37022474893</v>
      </c>
      <c r="Z24" s="92">
        <f>Z23*Z28/1000</f>
        <v>112078.30977525107</v>
      </c>
      <c r="AA24" s="152">
        <f>'передача Северк'!K10</f>
        <v>230439.68</v>
      </c>
      <c r="AB24" s="92">
        <f>AB23*AB28/1000</f>
        <v>109594.07196541276</v>
      </c>
      <c r="AC24" s="86">
        <f>AD24-AB24</f>
        <v>195279.12803458725</v>
      </c>
      <c r="AD24" s="126">
        <f>'передача Северк'!L10</f>
        <v>304873.2</v>
      </c>
    </row>
    <row r="25" spans="1:30" s="76" customFormat="1" ht="25.5" customHeight="1" hidden="1" outlineLevel="1">
      <c r="A25" s="7"/>
      <c r="B25" s="78" t="s">
        <v>178</v>
      </c>
      <c r="C25" s="7"/>
      <c r="D25" s="86">
        <f>D19</f>
        <v>24026.83679034</v>
      </c>
      <c r="E25" s="86">
        <f>E19</f>
        <v>19373.508114350003</v>
      </c>
      <c r="F25" s="86">
        <f>E25+D25</f>
        <v>43400.344904690006</v>
      </c>
      <c r="G25" s="86">
        <f>G19</f>
        <v>29006.257110000002</v>
      </c>
      <c r="H25" s="86">
        <f>H19</f>
        <v>25032.967991999998</v>
      </c>
      <c r="I25" s="86">
        <f>H25+G25</f>
        <v>54039.225102</v>
      </c>
      <c r="J25" s="86">
        <f>J19</f>
        <v>25652.180640000002</v>
      </c>
      <c r="K25" s="86">
        <f>K19</f>
        <v>30741.47475</v>
      </c>
      <c r="L25" s="86">
        <f>K25+J25</f>
        <v>56393.65539</v>
      </c>
      <c r="M25" s="86">
        <v>24026.83679034</v>
      </c>
      <c r="N25" s="86">
        <v>19373.508114350003</v>
      </c>
      <c r="O25" s="86">
        <v>43400.344904690006</v>
      </c>
      <c r="P25" s="86">
        <f>P19</f>
        <v>29006.257110000002</v>
      </c>
      <c r="Q25" s="86">
        <f>Q19</f>
        <v>25032.967991999998</v>
      </c>
      <c r="R25" s="86">
        <f>Q25+P25</f>
        <v>54039.225102</v>
      </c>
      <c r="S25" s="86">
        <f>S19</f>
        <v>25652.180640000002</v>
      </c>
      <c r="T25" s="86">
        <f>T19</f>
        <v>30741.47475</v>
      </c>
      <c r="U25" s="86">
        <f>T25+S25</f>
        <v>56393.65539</v>
      </c>
      <c r="V25" s="86">
        <f>V19</f>
        <v>14168.187309600002</v>
      </c>
      <c r="W25" s="86">
        <f>W19</f>
        <v>18821.1533328</v>
      </c>
      <c r="X25" s="86">
        <f>W25+V25</f>
        <v>32989.3406424</v>
      </c>
      <c r="Y25" s="86">
        <f>Y19</f>
        <v>16774.46784</v>
      </c>
      <c r="Z25" s="86">
        <f>Z19</f>
        <v>32788.15956</v>
      </c>
      <c r="AA25" s="86">
        <f>Z25+Y25</f>
        <v>49562.6274</v>
      </c>
      <c r="AB25" s="86">
        <f>AB19</f>
        <v>24026.83679034</v>
      </c>
      <c r="AC25" s="86">
        <f>AC19</f>
        <v>19373.508114350003</v>
      </c>
      <c r="AD25" s="126">
        <f>AC25+AB25</f>
        <v>43400.344904690006</v>
      </c>
    </row>
    <row r="26" spans="1:30" s="76" customFormat="1" ht="25.5" customHeight="1" hidden="1" outlineLevel="1">
      <c r="A26" s="7"/>
      <c r="B26" s="78" t="s">
        <v>180</v>
      </c>
      <c r="C26" s="7"/>
      <c r="D26" s="91">
        <v>6309.93169</v>
      </c>
      <c r="E26" s="86">
        <f>F26-D26</f>
        <v>10098.94225</v>
      </c>
      <c r="F26" s="86">
        <f>'передача Северк'!D37</f>
        <v>16408.87394</v>
      </c>
      <c r="G26" s="86">
        <f>I26/I28*G28</f>
        <v>6061.202735879337</v>
      </c>
      <c r="H26" s="86">
        <f>I26-G26</f>
        <v>5748.097264120663</v>
      </c>
      <c r="I26" s="86">
        <f>'передача Северк'!E37</f>
        <v>11809.3</v>
      </c>
      <c r="J26" s="86">
        <f>L26/L28*J28</f>
        <v>6200.425805379837</v>
      </c>
      <c r="K26" s="86">
        <f>L26-J26</f>
        <v>5799.574194620163</v>
      </c>
      <c r="L26" s="86">
        <f>'передача Северк'!F37</f>
        <v>12000</v>
      </c>
      <c r="M26" s="91">
        <v>6309.93169</v>
      </c>
      <c r="N26" s="86">
        <v>10098.94225</v>
      </c>
      <c r="O26" s="86">
        <v>16408.87394</v>
      </c>
      <c r="P26" s="86">
        <v>6061.202735879337</v>
      </c>
      <c r="Q26" s="86">
        <v>5748.097264120663</v>
      </c>
      <c r="R26" s="86">
        <f>'передача Северк'!J37</f>
        <v>20830.98</v>
      </c>
      <c r="S26" s="86">
        <v>6200.425805379837</v>
      </c>
      <c r="T26" s="86">
        <v>5799.574194620163</v>
      </c>
      <c r="U26" s="86">
        <v>12000</v>
      </c>
      <c r="V26" s="133">
        <f>9571.3+316.2</f>
        <v>9887.5</v>
      </c>
      <c r="W26" s="135">
        <f>X26-V26</f>
        <v>10943.48</v>
      </c>
      <c r="X26" s="135">
        <f>'передача Северк'!J37</f>
        <v>20830.98</v>
      </c>
      <c r="Y26" s="86">
        <f>AA26/AA28*Y28</f>
        <v>13855.911584297872</v>
      </c>
      <c r="Z26" s="86">
        <f>AA26-Y26</f>
        <v>13120.388415702128</v>
      </c>
      <c r="AA26" s="86">
        <f>'передача Северк'!K37</f>
        <v>26976.3</v>
      </c>
      <c r="AB26" s="86">
        <f>AD26/AD28*AB28</f>
        <v>14678.634478090908</v>
      </c>
      <c r="AC26" s="86">
        <f>AD26-AB26</f>
        <v>14215.565521909093</v>
      </c>
      <c r="AD26" s="86">
        <f>'передача Северк'!L37</f>
        <v>28894.2</v>
      </c>
    </row>
    <row r="27" spans="1:30" s="76" customFormat="1" ht="25.5" customHeight="1" hidden="1" outlineLevel="1">
      <c r="A27" s="7"/>
      <c r="B27" s="78" t="s">
        <v>181</v>
      </c>
      <c r="C27" s="7"/>
      <c r="D27" s="86">
        <f>D24-D25-D26</f>
        <v>58784.907862407</v>
      </c>
      <c r="E27" s="86">
        <f>E24-E25-E26</f>
        <v>66250.61817565002</v>
      </c>
      <c r="F27" s="86">
        <f>F24-F25-F26</f>
        <v>125035.52603805701</v>
      </c>
      <c r="G27" s="86">
        <f>G24-G25-G26</f>
        <v>67082.19116221227</v>
      </c>
      <c r="H27" s="86">
        <f>H24-H25-H26</f>
        <v>66091.8088377877</v>
      </c>
      <c r="I27" s="92">
        <f>'передача Северк'!E59</f>
        <v>133174</v>
      </c>
      <c r="J27" s="92">
        <f>J24-J25-J26</f>
        <v>69894.31291469448</v>
      </c>
      <c r="K27" s="86">
        <f>L27-J27</f>
        <v>86012.68708530552</v>
      </c>
      <c r="L27" s="93">
        <f>'передача Северк'!F59</f>
        <v>155907</v>
      </c>
      <c r="M27" s="86">
        <v>58784.907862407</v>
      </c>
      <c r="N27" s="86">
        <v>66250.61817565002</v>
      </c>
      <c r="O27" s="86">
        <v>125035.52603805701</v>
      </c>
      <c r="P27" s="86">
        <v>67082.19116221227</v>
      </c>
      <c r="Q27" s="86">
        <v>66091.8088377877</v>
      </c>
      <c r="R27" s="92">
        <v>133174</v>
      </c>
      <c r="S27" s="92">
        <v>69894.31291469448</v>
      </c>
      <c r="T27" s="86">
        <v>86012.68708530552</v>
      </c>
      <c r="U27" s="93">
        <v>155907</v>
      </c>
      <c r="V27" s="86">
        <f aca="true" t="shared" si="4" ref="V27:AB27">V24-V25-V26</f>
        <v>75936.01269039999</v>
      </c>
      <c r="W27" s="86">
        <f t="shared" si="4"/>
        <v>75723.6666672</v>
      </c>
      <c r="X27" s="86">
        <f t="shared" si="4"/>
        <v>151659.6793576</v>
      </c>
      <c r="Y27" s="92">
        <f>Y24-Y25-Y26</f>
        <v>87730.99080045105</v>
      </c>
      <c r="Z27" s="86">
        <f>AA27-Y27</f>
        <v>66169.76179954896</v>
      </c>
      <c r="AA27" s="86">
        <f t="shared" si="4"/>
        <v>153900.7526</v>
      </c>
      <c r="AB27" s="92">
        <f t="shared" si="4"/>
        <v>70888.60069698186</v>
      </c>
      <c r="AC27" s="86">
        <f>AD27-AB27</f>
        <v>161690.05439832815</v>
      </c>
      <c r="AD27" s="86">
        <f>AD24-AD25-AD26</f>
        <v>232578.65509531</v>
      </c>
    </row>
    <row r="28" spans="1:30" s="76" customFormat="1" ht="25.5" customHeight="1" hidden="1" outlineLevel="1">
      <c r="A28" s="7"/>
      <c r="B28" s="78" t="s">
        <v>196</v>
      </c>
      <c r="C28" s="7" t="s">
        <v>198</v>
      </c>
      <c r="D28" s="94">
        <v>118762.948</v>
      </c>
      <c r="E28" s="94">
        <f>230783.694-D28</f>
        <v>112020.74599999998</v>
      </c>
      <c r="F28" s="89">
        <f>E28+D28</f>
        <v>230783.694</v>
      </c>
      <c r="G28" s="94">
        <v>118659.82407999999</v>
      </c>
      <c r="H28" s="94">
        <f>231190-G28</f>
        <v>112530.17592000001</v>
      </c>
      <c r="I28" s="89">
        <f>H28+G28</f>
        <v>231190</v>
      </c>
      <c r="J28" s="94">
        <v>118192</v>
      </c>
      <c r="K28" s="94">
        <v>110551</v>
      </c>
      <c r="L28" s="105">
        <f>K28+J28</f>
        <v>228743</v>
      </c>
      <c r="M28" s="94">
        <v>118762.948</v>
      </c>
      <c r="N28" s="94">
        <v>112020.74599999998</v>
      </c>
      <c r="O28" s="89">
        <v>230783.694</v>
      </c>
      <c r="P28" s="94">
        <v>118659.82407999999</v>
      </c>
      <c r="Q28" s="94">
        <v>112530.17592000001</v>
      </c>
      <c r="R28" s="89">
        <v>231190</v>
      </c>
      <c r="S28" s="94">
        <v>118192</v>
      </c>
      <c r="T28" s="94">
        <v>110551</v>
      </c>
      <c r="U28" s="105">
        <v>228743</v>
      </c>
      <c r="V28" s="140">
        <v>114594.882</v>
      </c>
      <c r="W28" s="140">
        <v>107325.466</v>
      </c>
      <c r="X28" s="144">
        <f>V28+W28</f>
        <v>221920.348</v>
      </c>
      <c r="Y28" s="140">
        <v>120703.7</v>
      </c>
      <c r="Z28" s="140">
        <v>114296.3</v>
      </c>
      <c r="AA28" s="141">
        <f>Y28+Z28</f>
        <v>235000</v>
      </c>
      <c r="AB28" s="145">
        <v>111762.9</v>
      </c>
      <c r="AC28" s="145">
        <v>108237.1</v>
      </c>
      <c r="AD28" s="141">
        <f>AB28+AC28</f>
        <v>220000</v>
      </c>
    </row>
    <row r="29" spans="1:30" s="76" customFormat="1" ht="40.5" customHeight="1" collapsed="1">
      <c r="A29" s="7" t="s">
        <v>13</v>
      </c>
      <c r="B29" s="78" t="s">
        <v>106</v>
      </c>
      <c r="C29" s="7" t="s">
        <v>100</v>
      </c>
      <c r="D29" s="103">
        <v>0</v>
      </c>
      <c r="E29" s="103">
        <v>0</v>
      </c>
      <c r="F29" s="103">
        <v>0</v>
      </c>
      <c r="G29" s="103">
        <v>0</v>
      </c>
      <c r="H29" s="103">
        <v>0</v>
      </c>
      <c r="I29" s="103">
        <v>0</v>
      </c>
      <c r="J29" s="103">
        <v>0</v>
      </c>
      <c r="K29" s="103">
        <v>0</v>
      </c>
      <c r="L29" s="104">
        <v>0</v>
      </c>
      <c r="M29" s="103">
        <v>0</v>
      </c>
      <c r="N29" s="103">
        <v>0</v>
      </c>
      <c r="O29" s="103">
        <v>0</v>
      </c>
      <c r="P29" s="103">
        <v>0</v>
      </c>
      <c r="Q29" s="103">
        <v>0</v>
      </c>
      <c r="R29" s="103">
        <v>0</v>
      </c>
      <c r="S29" s="103">
        <v>0</v>
      </c>
      <c r="T29" s="103">
        <v>0</v>
      </c>
      <c r="U29" s="104">
        <v>0</v>
      </c>
      <c r="V29" s="104">
        <v>0</v>
      </c>
      <c r="W29" s="104">
        <v>0</v>
      </c>
      <c r="X29" s="104">
        <v>0</v>
      </c>
      <c r="Y29" s="104">
        <v>0</v>
      </c>
      <c r="Z29" s="104">
        <v>0</v>
      </c>
      <c r="AA29" s="81">
        <v>0</v>
      </c>
      <c r="AB29" s="81">
        <v>0</v>
      </c>
      <c r="AC29" s="81">
        <v>0</v>
      </c>
      <c r="AD29" s="81">
        <v>0</v>
      </c>
    </row>
    <row r="30" spans="1:30" s="76" customFormat="1" ht="25.5" customHeight="1" hidden="1" outlineLevel="1">
      <c r="A30" s="7" t="s">
        <v>17</v>
      </c>
      <c r="B30" s="78" t="s">
        <v>107</v>
      </c>
      <c r="C30" s="7"/>
      <c r="D30" s="79"/>
      <c r="E30" s="79"/>
      <c r="F30" s="79"/>
      <c r="G30" s="79"/>
      <c r="H30" s="79"/>
      <c r="I30" s="79"/>
      <c r="J30" s="79"/>
      <c r="K30" s="79"/>
      <c r="L30" s="77"/>
      <c r="M30" s="79"/>
      <c r="N30" s="79"/>
      <c r="O30" s="79"/>
      <c r="P30" s="79"/>
      <c r="Q30" s="79"/>
      <c r="R30" s="79"/>
      <c r="S30" s="79"/>
      <c r="T30" s="79"/>
      <c r="U30" s="77"/>
      <c r="V30" s="77"/>
      <c r="W30" s="77"/>
      <c r="X30" s="77"/>
      <c r="Y30" s="77"/>
      <c r="Z30" s="77"/>
      <c r="AA30" s="77"/>
      <c r="AB30" s="77"/>
      <c r="AC30" s="77"/>
      <c r="AD30" s="77"/>
    </row>
    <row r="31" spans="1:30" s="76" customFormat="1" ht="54" customHeight="1" hidden="1" outlineLevel="1">
      <c r="A31" s="7" t="s">
        <v>18</v>
      </c>
      <c r="B31" s="78" t="s">
        <v>108</v>
      </c>
      <c r="C31" s="7" t="s">
        <v>100</v>
      </c>
      <c r="D31" s="95">
        <f>-3057673/62801817*1000</f>
        <v>-48.687651823831786</v>
      </c>
      <c r="E31" s="95">
        <f>-499835/59911337*1000</f>
        <v>-8.342911793138583</v>
      </c>
      <c r="F31" s="89"/>
      <c r="G31" s="95">
        <v>244.31</v>
      </c>
      <c r="H31" s="95">
        <v>156.178262698552</v>
      </c>
      <c r="I31" s="89"/>
      <c r="J31" s="95">
        <v>156.178262698552</v>
      </c>
      <c r="K31" s="95">
        <v>312.463495194028</v>
      </c>
      <c r="L31" s="96"/>
      <c r="M31" s="95">
        <v>-48.687651823831786</v>
      </c>
      <c r="N31" s="95">
        <v>-8.342911793138583</v>
      </c>
      <c r="O31" s="89"/>
      <c r="P31" s="95">
        <v>244.31</v>
      </c>
      <c r="Q31" s="95">
        <v>156.178262698552</v>
      </c>
      <c r="R31" s="89"/>
      <c r="S31" s="95">
        <v>156.178262698552</v>
      </c>
      <c r="T31" s="95">
        <v>312.463495194028</v>
      </c>
      <c r="U31" s="96"/>
      <c r="V31" s="129">
        <v>156.18</v>
      </c>
      <c r="W31" s="129">
        <v>156.18</v>
      </c>
      <c r="X31" s="130"/>
      <c r="Y31" s="143">
        <v>156.18</v>
      </c>
      <c r="Z31" s="143">
        <v>165.24</v>
      </c>
      <c r="AA31" s="121"/>
      <c r="AB31" s="142">
        <v>165.24</v>
      </c>
      <c r="AC31" s="143">
        <v>330.38</v>
      </c>
      <c r="AD31" s="77"/>
    </row>
    <row r="32" spans="1:30" s="76" customFormat="1" ht="66.75" customHeight="1" hidden="1" outlineLevel="1">
      <c r="A32" s="7" t="s">
        <v>20</v>
      </c>
      <c r="B32" s="78" t="s">
        <v>109</v>
      </c>
      <c r="C32" s="7" t="s">
        <v>100</v>
      </c>
      <c r="D32" s="95">
        <v>1027.4</v>
      </c>
      <c r="E32" s="95">
        <v>863.2</v>
      </c>
      <c r="F32" s="89"/>
      <c r="G32" s="97">
        <f>E32</f>
        <v>863.2</v>
      </c>
      <c r="H32" s="95">
        <v>617.39</v>
      </c>
      <c r="I32" s="89"/>
      <c r="J32" s="97">
        <f>H32</f>
        <v>617.39</v>
      </c>
      <c r="K32" s="95">
        <v>1142.31</v>
      </c>
      <c r="L32" s="98"/>
      <c r="M32" s="95">
        <v>1027.4</v>
      </c>
      <c r="N32" s="95">
        <v>863.2</v>
      </c>
      <c r="O32" s="89"/>
      <c r="P32" s="97">
        <v>863.2</v>
      </c>
      <c r="Q32" s="95">
        <v>617.39</v>
      </c>
      <c r="R32" s="89"/>
      <c r="S32" s="97">
        <v>617.39</v>
      </c>
      <c r="T32" s="95">
        <v>1142.31</v>
      </c>
      <c r="U32" s="98"/>
      <c r="V32" s="129">
        <v>617.39</v>
      </c>
      <c r="W32" s="129">
        <v>303.46</v>
      </c>
      <c r="X32" s="121"/>
      <c r="Y32" s="143">
        <v>303.46</v>
      </c>
      <c r="Z32" s="143">
        <v>2128.4</v>
      </c>
      <c r="AA32" s="121"/>
      <c r="AB32" s="142">
        <v>2128.4</v>
      </c>
      <c r="AC32" s="143">
        <v>4305.99</v>
      </c>
      <c r="AD32" s="77"/>
    </row>
    <row r="33" spans="1:30" s="76" customFormat="1" ht="27" customHeight="1" hidden="1" outlineLevel="1">
      <c r="A33" s="7" t="s">
        <v>22</v>
      </c>
      <c r="B33" s="78" t="s">
        <v>110</v>
      </c>
      <c r="C33" s="7" t="s">
        <v>16</v>
      </c>
      <c r="D33" s="94"/>
      <c r="E33" s="94"/>
      <c r="F33" s="98"/>
      <c r="G33" s="94"/>
      <c r="H33" s="94"/>
      <c r="I33" s="98"/>
      <c r="J33" s="94"/>
      <c r="K33" s="94"/>
      <c r="L33" s="98"/>
      <c r="M33" s="94"/>
      <c r="N33" s="94"/>
      <c r="O33" s="98"/>
      <c r="P33" s="94"/>
      <c r="Q33" s="94"/>
      <c r="R33" s="98"/>
      <c r="S33" s="94"/>
      <c r="T33" s="94"/>
      <c r="U33" s="98"/>
      <c r="V33" s="122"/>
      <c r="W33" s="122"/>
      <c r="X33" s="123"/>
      <c r="Y33" s="122"/>
      <c r="Z33" s="122"/>
      <c r="AA33" s="123"/>
      <c r="AB33" s="122"/>
      <c r="AC33" s="122"/>
      <c r="AD33" s="77"/>
    </row>
    <row r="34" spans="1:30" s="76" customFormat="1" ht="27" customHeight="1" hidden="1" outlineLevel="1">
      <c r="A34" s="7"/>
      <c r="B34" s="78" t="s">
        <v>111</v>
      </c>
      <c r="C34" s="7" t="s">
        <v>16</v>
      </c>
      <c r="D34" s="99">
        <f>D35/D42</f>
        <v>0.10105967497770742</v>
      </c>
      <c r="E34" s="99">
        <f>E35/E42</f>
        <v>0.13399670555013954</v>
      </c>
      <c r="F34" s="100"/>
      <c r="G34" s="99">
        <f>G35/G42</f>
        <v>0.13399670555013954</v>
      </c>
      <c r="H34" s="99">
        <f>H35/H42</f>
        <v>0.1826984555959106</v>
      </c>
      <c r="I34" s="100"/>
      <c r="J34" s="99">
        <f>J35/J42</f>
        <v>0.1826984555959106</v>
      </c>
      <c r="K34" s="99">
        <f>K35/K42</f>
        <v>0.23143997890692683</v>
      </c>
      <c r="L34" s="100"/>
      <c r="M34" s="99">
        <v>0.10105967497770742</v>
      </c>
      <c r="N34" s="99">
        <v>0.13399670555013954</v>
      </c>
      <c r="O34" s="100"/>
      <c r="P34" s="99">
        <v>0.13399670555013954</v>
      </c>
      <c r="Q34" s="99">
        <v>0.1826984555959106</v>
      </c>
      <c r="R34" s="100"/>
      <c r="S34" s="99">
        <v>0.1826984555959106</v>
      </c>
      <c r="T34" s="99">
        <v>0.23143997890692683</v>
      </c>
      <c r="U34" s="100"/>
      <c r="V34" s="131">
        <v>0.18162534852909187</v>
      </c>
      <c r="W34" s="131">
        <v>0.12057003893502011</v>
      </c>
      <c r="X34" s="125"/>
      <c r="Y34" s="132">
        <v>0.263</v>
      </c>
      <c r="Z34" s="132">
        <v>0.276</v>
      </c>
      <c r="AA34" s="125"/>
      <c r="AB34" s="146">
        <v>0.276</v>
      </c>
      <c r="AC34" s="146">
        <v>0.279</v>
      </c>
      <c r="AD34" s="77"/>
    </row>
    <row r="35" spans="1:30" s="76" customFormat="1" ht="27" customHeight="1" hidden="1" outlineLevel="2">
      <c r="A35" s="7"/>
      <c r="B35" s="78"/>
      <c r="C35" s="7" t="s">
        <v>100</v>
      </c>
      <c r="D35" s="95">
        <f>0.1462*1000</f>
        <v>146.2</v>
      </c>
      <c r="E35" s="95">
        <f>0.1993*1000</f>
        <v>199.3</v>
      </c>
      <c r="F35" s="100"/>
      <c r="G35" s="95">
        <f>0.1993*1000</f>
        <v>199.3</v>
      </c>
      <c r="H35" s="95">
        <f>0.27717*1000</f>
        <v>277.17</v>
      </c>
      <c r="I35" s="100"/>
      <c r="J35" s="95">
        <f>0.27717*1000</f>
        <v>277.17</v>
      </c>
      <c r="K35" s="95">
        <f>0.36867*1000</f>
        <v>368.67</v>
      </c>
      <c r="L35" s="100"/>
      <c r="M35" s="95">
        <v>146.2</v>
      </c>
      <c r="N35" s="95">
        <v>199.3</v>
      </c>
      <c r="O35" s="100"/>
      <c r="P35" s="95">
        <v>199.3</v>
      </c>
      <c r="Q35" s="95">
        <v>277.17</v>
      </c>
      <c r="R35" s="100"/>
      <c r="S35" s="95">
        <v>277.17</v>
      </c>
      <c r="T35" s="95">
        <v>368.67</v>
      </c>
      <c r="U35" s="100"/>
      <c r="V35" s="129">
        <v>275.542</v>
      </c>
      <c r="W35" s="129">
        <v>191.376</v>
      </c>
      <c r="X35" s="125"/>
      <c r="Y35" s="143">
        <v>192.03</v>
      </c>
      <c r="Z35" s="143">
        <v>514.31</v>
      </c>
      <c r="AA35" s="125"/>
      <c r="AB35" s="143">
        <v>514.31</v>
      </c>
      <c r="AC35" s="143">
        <v>332.53</v>
      </c>
      <c r="AD35" s="77"/>
    </row>
    <row r="36" spans="1:30" s="76" customFormat="1" ht="27" customHeight="1" hidden="1" outlineLevel="1">
      <c r="A36" s="7"/>
      <c r="B36" s="78" t="s">
        <v>112</v>
      </c>
      <c r="C36" s="7" t="s">
        <v>16</v>
      </c>
      <c r="D36" s="99">
        <f>D37/D42</f>
        <v>0.0949767396849316</v>
      </c>
      <c r="E36" s="99">
        <f>E37/E42</f>
        <v>0.12653376811107003</v>
      </c>
      <c r="F36" s="100"/>
      <c r="G36" s="99">
        <f>G37/G42</f>
        <v>0.12650015127575892</v>
      </c>
      <c r="H36" s="99">
        <f>H37/H42</f>
        <v>0.17149938368850892</v>
      </c>
      <c r="I36" s="100"/>
      <c r="J36" s="99">
        <f>J37/J42</f>
        <v>0.17149938368850892</v>
      </c>
      <c r="K36" s="99">
        <f>K37/K42</f>
        <v>0.2182379750649742</v>
      </c>
      <c r="L36" s="100"/>
      <c r="M36" s="99">
        <v>0.0949767396849316</v>
      </c>
      <c r="N36" s="99">
        <v>0.12653376811107003</v>
      </c>
      <c r="O36" s="100"/>
      <c r="P36" s="99">
        <v>0.12650015127575892</v>
      </c>
      <c r="Q36" s="99">
        <v>0.17149938368850892</v>
      </c>
      <c r="R36" s="100"/>
      <c r="S36" s="99">
        <v>0.17149938368850892</v>
      </c>
      <c r="T36" s="99">
        <v>0.2182379750649742</v>
      </c>
      <c r="U36" s="100"/>
      <c r="V36" s="131">
        <v>0.17149938368850892</v>
      </c>
      <c r="W36" s="131">
        <v>0.11407708881972707</v>
      </c>
      <c r="X36" s="125"/>
      <c r="Y36" s="132">
        <v>0.248</v>
      </c>
      <c r="Z36" s="132">
        <v>0.26</v>
      </c>
      <c r="AA36" s="125"/>
      <c r="AB36" s="146">
        <v>0.26</v>
      </c>
      <c r="AC36" s="146">
        <v>0.262</v>
      </c>
      <c r="AD36" s="77"/>
    </row>
    <row r="37" spans="1:30" s="76" customFormat="1" ht="27" customHeight="1" hidden="1" outlineLevel="2">
      <c r="A37" s="7"/>
      <c r="B37" s="78"/>
      <c r="C37" s="7" t="s">
        <v>100</v>
      </c>
      <c r="D37" s="95">
        <f>0.1374*1000</f>
        <v>137.4</v>
      </c>
      <c r="E37" s="95">
        <f>0.1882*1000</f>
        <v>188.20000000000002</v>
      </c>
      <c r="F37" s="100"/>
      <c r="G37" s="95">
        <f>0.18815*1000</f>
        <v>188.15</v>
      </c>
      <c r="H37" s="95">
        <f>0.26018*1000</f>
        <v>260.18</v>
      </c>
      <c r="I37" s="100"/>
      <c r="J37" s="95">
        <f>0.26018*1000</f>
        <v>260.18</v>
      </c>
      <c r="K37" s="95">
        <f>0.34764*1000</f>
        <v>347.64</v>
      </c>
      <c r="L37" s="100"/>
      <c r="M37" s="95">
        <v>137.4</v>
      </c>
      <c r="N37" s="95">
        <v>188.2</v>
      </c>
      <c r="O37" s="100"/>
      <c r="P37" s="95">
        <v>188.15</v>
      </c>
      <c r="Q37" s="95">
        <v>260.18</v>
      </c>
      <c r="R37" s="100"/>
      <c r="S37" s="95">
        <v>260.18</v>
      </c>
      <c r="T37" s="95">
        <v>347.64</v>
      </c>
      <c r="U37" s="100"/>
      <c r="V37" s="129">
        <v>260.18</v>
      </c>
      <c r="W37" s="129">
        <v>181.07</v>
      </c>
      <c r="X37" s="125"/>
      <c r="Y37" s="143">
        <v>181.07</v>
      </c>
      <c r="Z37" s="143">
        <v>484.5</v>
      </c>
      <c r="AA37" s="125"/>
      <c r="AB37" s="143">
        <v>484.5</v>
      </c>
      <c r="AC37" s="143">
        <v>312.27</v>
      </c>
      <c r="AD37" s="77"/>
    </row>
    <row r="38" spans="1:30" s="76" customFormat="1" ht="27" customHeight="1" hidden="1" outlineLevel="1">
      <c r="A38" s="7"/>
      <c r="B38" s="78" t="s">
        <v>113</v>
      </c>
      <c r="C38" s="7" t="s">
        <v>16</v>
      </c>
      <c r="D38" s="99">
        <f>D39/D42</f>
        <v>0.06041460733961443</v>
      </c>
      <c r="E38" s="99">
        <f>E39/E42</f>
        <v>0.08000806804047468</v>
      </c>
      <c r="F38" s="100"/>
      <c r="G38" s="99">
        <f>G39/G42</f>
        <v>0.08000134467341245</v>
      </c>
      <c r="H38" s="99">
        <f>H39/H42</f>
        <v>0.10920248633897793</v>
      </c>
      <c r="I38" s="100"/>
      <c r="J38" s="99">
        <f>J39/J42</f>
        <v>0.10920248633897793</v>
      </c>
      <c r="K38" s="99">
        <f>K39/K42</f>
        <v>0.13815962936457116</v>
      </c>
      <c r="L38" s="100"/>
      <c r="M38" s="99">
        <v>0.06041460733961443</v>
      </c>
      <c r="N38" s="99">
        <v>0.08000806804047468</v>
      </c>
      <c r="O38" s="100"/>
      <c r="P38" s="99">
        <v>0.08000134467341245</v>
      </c>
      <c r="Q38" s="99">
        <v>0.10920248633897793</v>
      </c>
      <c r="R38" s="100"/>
      <c r="S38" s="99">
        <v>0.10920248633897793</v>
      </c>
      <c r="T38" s="99">
        <v>0.13815962936457116</v>
      </c>
      <c r="U38" s="100"/>
      <c r="V38" s="131">
        <v>0.10969619468851553</v>
      </c>
      <c r="W38" s="131">
        <v>0.07281730781346471</v>
      </c>
      <c r="X38" s="125"/>
      <c r="Y38" s="132">
        <v>0.157</v>
      </c>
      <c r="Z38" s="132">
        <v>0.165</v>
      </c>
      <c r="AA38" s="125"/>
      <c r="AB38" s="146">
        <v>0.165</v>
      </c>
      <c r="AC38" s="146">
        <v>0.167</v>
      </c>
      <c r="AD38" s="77"/>
    </row>
    <row r="39" spans="1:30" s="76" customFormat="1" ht="27" customHeight="1" hidden="1" outlineLevel="2">
      <c r="A39" s="7"/>
      <c r="B39" s="78"/>
      <c r="C39" s="7" t="s">
        <v>100</v>
      </c>
      <c r="D39" s="95">
        <f>0.0874*1000</f>
        <v>87.4</v>
      </c>
      <c r="E39" s="95">
        <f>0.119*1000</f>
        <v>119</v>
      </c>
      <c r="F39" s="100"/>
      <c r="G39" s="95">
        <f>0.11899*1000</f>
        <v>118.99</v>
      </c>
      <c r="H39" s="95">
        <f>0.16567*1000</f>
        <v>165.67000000000002</v>
      </c>
      <c r="I39" s="100"/>
      <c r="J39" s="95">
        <f>0.16567*1000</f>
        <v>165.67000000000002</v>
      </c>
      <c r="K39" s="95">
        <f>0.22008*1000</f>
        <v>220.07999999999998</v>
      </c>
      <c r="L39" s="100"/>
      <c r="M39" s="95">
        <v>87.4</v>
      </c>
      <c r="N39" s="95">
        <v>119</v>
      </c>
      <c r="O39" s="100"/>
      <c r="P39" s="95">
        <v>118.99</v>
      </c>
      <c r="Q39" s="95">
        <v>165.67</v>
      </c>
      <c r="R39" s="100"/>
      <c r="S39" s="95">
        <v>165.67</v>
      </c>
      <c r="T39" s="95">
        <v>220.08</v>
      </c>
      <c r="U39" s="100"/>
      <c r="V39" s="129">
        <v>166.419</v>
      </c>
      <c r="W39" s="129">
        <v>115.58</v>
      </c>
      <c r="X39" s="125"/>
      <c r="Y39" s="143">
        <v>114.63</v>
      </c>
      <c r="Z39" s="143">
        <v>307.47</v>
      </c>
      <c r="AA39" s="125"/>
      <c r="AB39" s="143">
        <v>307.47</v>
      </c>
      <c r="AC39" s="143">
        <v>199.04</v>
      </c>
      <c r="AD39" s="77"/>
    </row>
    <row r="40" spans="1:30" s="76" customFormat="1" ht="27" customHeight="1" hidden="1" outlineLevel="1">
      <c r="A40" s="7"/>
      <c r="B40" s="78" t="s">
        <v>114</v>
      </c>
      <c r="C40" s="7" t="s">
        <v>16</v>
      </c>
      <c r="D40" s="99">
        <f>D41/D42</f>
        <v>0</v>
      </c>
      <c r="E40" s="99">
        <f>E41/E42</f>
        <v>0</v>
      </c>
      <c r="F40" s="100"/>
      <c r="G40" s="99">
        <f>G41/G42</f>
        <v>0</v>
      </c>
      <c r="H40" s="99">
        <f>H41/H42</f>
        <v>0</v>
      </c>
      <c r="I40" s="100"/>
      <c r="J40" s="99">
        <f>J41/J42</f>
        <v>0</v>
      </c>
      <c r="K40" s="99">
        <f>K41/K42</f>
        <v>0</v>
      </c>
      <c r="L40" s="100"/>
      <c r="M40" s="99">
        <v>0</v>
      </c>
      <c r="N40" s="99">
        <v>0</v>
      </c>
      <c r="O40" s="100"/>
      <c r="P40" s="99">
        <v>0</v>
      </c>
      <c r="Q40" s="99">
        <v>0</v>
      </c>
      <c r="R40" s="100"/>
      <c r="S40" s="99">
        <v>0</v>
      </c>
      <c r="T40" s="99">
        <v>0</v>
      </c>
      <c r="U40" s="100"/>
      <c r="V40" s="124">
        <v>0</v>
      </c>
      <c r="W40" s="124">
        <v>0</v>
      </c>
      <c r="X40" s="125"/>
      <c r="Y40" s="124">
        <v>0</v>
      </c>
      <c r="Z40" s="124">
        <v>0</v>
      </c>
      <c r="AA40" s="125"/>
      <c r="AB40" s="147">
        <v>0</v>
      </c>
      <c r="AC40" s="147">
        <v>0</v>
      </c>
      <c r="AD40" s="77"/>
    </row>
    <row r="41" spans="1:30" s="76" customFormat="1" ht="27" customHeight="1" hidden="1" outlineLevel="2">
      <c r="A41" s="7"/>
      <c r="B41" s="78"/>
      <c r="C41" s="7" t="s">
        <v>100</v>
      </c>
      <c r="D41" s="95">
        <v>0</v>
      </c>
      <c r="E41" s="95">
        <v>0</v>
      </c>
      <c r="F41" s="100"/>
      <c r="G41" s="95">
        <v>0</v>
      </c>
      <c r="H41" s="95">
        <v>0</v>
      </c>
      <c r="I41" s="100"/>
      <c r="J41" s="95">
        <v>0</v>
      </c>
      <c r="K41" s="95">
        <v>0</v>
      </c>
      <c r="L41" s="100"/>
      <c r="M41" s="95">
        <v>0</v>
      </c>
      <c r="N41" s="95">
        <v>0</v>
      </c>
      <c r="O41" s="100"/>
      <c r="P41" s="95">
        <v>0</v>
      </c>
      <c r="Q41" s="95">
        <v>0</v>
      </c>
      <c r="R41" s="100"/>
      <c r="S41" s="95">
        <v>0</v>
      </c>
      <c r="T41" s="95">
        <v>0</v>
      </c>
      <c r="U41" s="100"/>
      <c r="V41" s="120">
        <v>0</v>
      </c>
      <c r="W41" s="120">
        <v>0</v>
      </c>
      <c r="X41" s="125"/>
      <c r="Y41" s="120">
        <v>0</v>
      </c>
      <c r="Z41" s="120">
        <v>0</v>
      </c>
      <c r="AA41" s="125"/>
      <c r="AB41" s="143">
        <v>0</v>
      </c>
      <c r="AC41" s="143">
        <v>0</v>
      </c>
      <c r="AD41" s="77"/>
    </row>
    <row r="42" spans="1:30" s="76" customFormat="1" ht="27" customHeight="1" hidden="1" outlineLevel="1">
      <c r="A42" s="7" t="s">
        <v>28</v>
      </c>
      <c r="B42" s="78" t="s">
        <v>115</v>
      </c>
      <c r="C42" s="7" t="s">
        <v>16</v>
      </c>
      <c r="D42" s="94">
        <v>1446.67</v>
      </c>
      <c r="E42" s="95">
        <v>1487.35</v>
      </c>
      <c r="F42" s="89"/>
      <c r="G42" s="97">
        <f>E42</f>
        <v>1487.35</v>
      </c>
      <c r="H42" s="95">
        <v>1517.09</v>
      </c>
      <c r="I42" s="89"/>
      <c r="J42" s="101">
        <f>H42</f>
        <v>1517.09</v>
      </c>
      <c r="K42" s="102">
        <v>1592.94</v>
      </c>
      <c r="L42" s="86"/>
      <c r="M42" s="94">
        <v>1446.67</v>
      </c>
      <c r="N42" s="95">
        <v>1487.35</v>
      </c>
      <c r="O42" s="89"/>
      <c r="P42" s="97">
        <v>1487.35</v>
      </c>
      <c r="Q42" s="95">
        <v>1517.09</v>
      </c>
      <c r="R42" s="89"/>
      <c r="S42" s="101">
        <v>1517.09</v>
      </c>
      <c r="T42" s="102">
        <v>1592.94</v>
      </c>
      <c r="U42" s="86"/>
      <c r="V42" s="129">
        <v>1517.09</v>
      </c>
      <c r="W42" s="129">
        <v>1587.26</v>
      </c>
      <c r="X42" s="121"/>
      <c r="Y42" s="142">
        <v>1587.26</v>
      </c>
      <c r="Z42" s="143">
        <v>1774.72</v>
      </c>
      <c r="AA42" s="121"/>
      <c r="AB42" s="148">
        <v>1774.72</v>
      </c>
      <c r="AC42" s="149">
        <v>1891.8515200000002</v>
      </c>
      <c r="AD42" s="77"/>
    </row>
    <row r="43" spans="1:30" s="76" customFormat="1" ht="27" customHeight="1" hidden="1" outlineLevel="1">
      <c r="A43" s="7" t="s">
        <v>30</v>
      </c>
      <c r="B43" s="78" t="s">
        <v>116</v>
      </c>
      <c r="C43" s="7" t="s">
        <v>117</v>
      </c>
      <c r="D43" s="79"/>
      <c r="E43" s="79"/>
      <c r="F43" s="79"/>
      <c r="G43" s="79"/>
      <c r="H43" s="79"/>
      <c r="I43" s="79"/>
      <c r="J43" s="79"/>
      <c r="K43" s="79"/>
      <c r="L43" s="77"/>
      <c r="M43" s="79"/>
      <c r="N43" s="79"/>
      <c r="O43" s="79"/>
      <c r="P43" s="79"/>
      <c r="Q43" s="79"/>
      <c r="R43" s="79"/>
      <c r="S43" s="79"/>
      <c r="T43" s="79"/>
      <c r="U43" s="77"/>
      <c r="V43" s="77"/>
      <c r="W43" s="77"/>
      <c r="X43" s="77"/>
      <c r="Y43" s="77"/>
      <c r="Z43" s="77"/>
      <c r="AA43" s="77"/>
      <c r="AB43" s="77"/>
      <c r="AC43" s="77"/>
      <c r="AD43" s="77"/>
    </row>
    <row r="44" spans="1:30" s="76" customFormat="1" ht="27" customHeight="1" hidden="1" outlineLevel="1">
      <c r="A44" s="7"/>
      <c r="B44" s="78" t="s">
        <v>118</v>
      </c>
      <c r="C44" s="7" t="s">
        <v>117</v>
      </c>
      <c r="D44" s="79"/>
      <c r="E44" s="79"/>
      <c r="F44" s="79"/>
      <c r="G44" s="79"/>
      <c r="H44" s="79"/>
      <c r="I44" s="79"/>
      <c r="J44" s="79"/>
      <c r="K44" s="79"/>
      <c r="L44" s="77"/>
      <c r="M44" s="79"/>
      <c r="N44" s="79"/>
      <c r="O44" s="79"/>
      <c r="P44" s="79"/>
      <c r="Q44" s="79"/>
      <c r="R44" s="79"/>
      <c r="S44" s="79"/>
      <c r="T44" s="79"/>
      <c r="U44" s="77"/>
      <c r="V44" s="77"/>
      <c r="W44" s="77"/>
      <c r="X44" s="77"/>
      <c r="Y44" s="77"/>
      <c r="Z44" s="77"/>
      <c r="AA44" s="77"/>
      <c r="AB44" s="77"/>
      <c r="AC44" s="77"/>
      <c r="AD44" s="77"/>
    </row>
    <row r="45" spans="1:30" s="76" customFormat="1" ht="27" customHeight="1" hidden="1" outlineLevel="1">
      <c r="A45" s="7" t="s">
        <v>34</v>
      </c>
      <c r="B45" s="78" t="s">
        <v>119</v>
      </c>
      <c r="C45" s="7" t="s">
        <v>99</v>
      </c>
      <c r="D45" s="79"/>
      <c r="E45" s="79"/>
      <c r="F45" s="79"/>
      <c r="G45" s="79"/>
      <c r="H45" s="79"/>
      <c r="I45" s="79"/>
      <c r="J45" s="79"/>
      <c r="K45" s="79"/>
      <c r="L45" s="77"/>
      <c r="M45" s="79"/>
      <c r="N45" s="79"/>
      <c r="O45" s="79"/>
      <c r="P45" s="79"/>
      <c r="Q45" s="79"/>
      <c r="R45" s="79"/>
      <c r="S45" s="79"/>
      <c r="T45" s="79"/>
      <c r="U45" s="77"/>
      <c r="V45" s="77"/>
      <c r="W45" s="77"/>
      <c r="X45" s="77"/>
      <c r="Y45" s="77"/>
      <c r="Z45" s="77"/>
      <c r="AA45" s="77"/>
      <c r="AB45" s="77"/>
      <c r="AC45" s="77"/>
      <c r="AD45" s="77"/>
    </row>
    <row r="46" spans="1:30" s="76" customFormat="1" ht="40.5" customHeight="1" hidden="1" outlineLevel="1">
      <c r="A46" s="7" t="s">
        <v>35</v>
      </c>
      <c r="B46" s="78" t="s">
        <v>120</v>
      </c>
      <c r="C46" s="7" t="s">
        <v>121</v>
      </c>
      <c r="D46" s="79"/>
      <c r="E46" s="79"/>
      <c r="F46" s="79"/>
      <c r="G46" s="79"/>
      <c r="H46" s="79"/>
      <c r="I46" s="79"/>
      <c r="J46" s="79"/>
      <c r="K46" s="79"/>
      <c r="L46" s="77"/>
      <c r="M46" s="79"/>
      <c r="N46" s="79"/>
      <c r="O46" s="79"/>
      <c r="P46" s="79"/>
      <c r="Q46" s="79"/>
      <c r="R46" s="79"/>
      <c r="S46" s="79"/>
      <c r="T46" s="79"/>
      <c r="U46" s="77"/>
      <c r="V46" s="77"/>
      <c r="W46" s="77"/>
      <c r="X46" s="77"/>
      <c r="Y46" s="77"/>
      <c r="Z46" s="77"/>
      <c r="AA46" s="77"/>
      <c r="AB46" s="77"/>
      <c r="AC46" s="77"/>
      <c r="AD46" s="77"/>
    </row>
    <row r="47" spans="1:30" s="76" customFormat="1" ht="27" customHeight="1" hidden="1" outlineLevel="1">
      <c r="A47" s="7" t="s">
        <v>122</v>
      </c>
      <c r="B47" s="78" t="s">
        <v>123</v>
      </c>
      <c r="C47" s="7" t="s">
        <v>121</v>
      </c>
      <c r="D47" s="79"/>
      <c r="E47" s="79"/>
      <c r="F47" s="79"/>
      <c r="G47" s="79"/>
      <c r="H47" s="79"/>
      <c r="I47" s="79"/>
      <c r="J47" s="79"/>
      <c r="K47" s="79"/>
      <c r="L47" s="77"/>
      <c r="M47" s="79"/>
      <c r="N47" s="79"/>
      <c r="O47" s="79"/>
      <c r="P47" s="79"/>
      <c r="Q47" s="79"/>
      <c r="R47" s="79"/>
      <c r="S47" s="79"/>
      <c r="T47" s="79"/>
      <c r="U47" s="77"/>
      <c r="V47" s="77"/>
      <c r="W47" s="77"/>
      <c r="X47" s="77"/>
      <c r="Y47" s="77"/>
      <c r="Z47" s="77"/>
      <c r="AA47" s="77"/>
      <c r="AB47" s="77"/>
      <c r="AC47" s="77"/>
      <c r="AD47" s="77"/>
    </row>
    <row r="48" spans="1:30" s="76" customFormat="1" ht="27" customHeight="1" hidden="1" outlineLevel="1">
      <c r="A48" s="7" t="s">
        <v>124</v>
      </c>
      <c r="B48" s="78" t="s">
        <v>125</v>
      </c>
      <c r="C48" s="7" t="s">
        <v>121</v>
      </c>
      <c r="D48" s="79"/>
      <c r="E48" s="79"/>
      <c r="F48" s="79"/>
      <c r="G48" s="79"/>
      <c r="H48" s="79"/>
      <c r="I48" s="79"/>
      <c r="J48" s="79"/>
      <c r="K48" s="79"/>
      <c r="L48" s="77"/>
      <c r="M48" s="79"/>
      <c r="N48" s="79"/>
      <c r="O48" s="79"/>
      <c r="P48" s="79"/>
      <c r="Q48" s="79"/>
      <c r="R48" s="79"/>
      <c r="S48" s="79"/>
      <c r="T48" s="79"/>
      <c r="U48" s="77"/>
      <c r="V48" s="77"/>
      <c r="W48" s="77"/>
      <c r="X48" s="77"/>
      <c r="Y48" s="77"/>
      <c r="Z48" s="77"/>
      <c r="AA48" s="77"/>
      <c r="AB48" s="77"/>
      <c r="AC48" s="77"/>
      <c r="AD48" s="77"/>
    </row>
    <row r="49" spans="1:30" s="76" customFormat="1" ht="27" customHeight="1" hidden="1" outlineLevel="1">
      <c r="A49" s="7"/>
      <c r="B49" s="78" t="s">
        <v>138</v>
      </c>
      <c r="C49" s="7" t="s">
        <v>121</v>
      </c>
      <c r="D49" s="79"/>
      <c r="E49" s="79"/>
      <c r="F49" s="79"/>
      <c r="G49" s="79"/>
      <c r="H49" s="79"/>
      <c r="I49" s="79"/>
      <c r="J49" s="79"/>
      <c r="K49" s="79"/>
      <c r="L49" s="77"/>
      <c r="M49" s="79"/>
      <c r="N49" s="79"/>
      <c r="O49" s="79"/>
      <c r="P49" s="79"/>
      <c r="Q49" s="79"/>
      <c r="R49" s="79"/>
      <c r="S49" s="79"/>
      <c r="T49" s="79"/>
      <c r="U49" s="77"/>
      <c r="V49" s="77"/>
      <c r="W49" s="77"/>
      <c r="X49" s="77"/>
      <c r="Y49" s="77"/>
      <c r="Z49" s="77"/>
      <c r="AA49" s="77"/>
      <c r="AB49" s="77"/>
      <c r="AC49" s="77"/>
      <c r="AD49" s="77"/>
    </row>
    <row r="50" spans="1:30" s="76" customFormat="1" ht="27" customHeight="1" hidden="1" outlineLevel="1">
      <c r="A50" s="7"/>
      <c r="B50" s="78" t="s">
        <v>139</v>
      </c>
      <c r="C50" s="7" t="s">
        <v>121</v>
      </c>
      <c r="D50" s="79"/>
      <c r="E50" s="79"/>
      <c r="F50" s="79"/>
      <c r="G50" s="79"/>
      <c r="H50" s="79"/>
      <c r="I50" s="79"/>
      <c r="J50" s="79"/>
      <c r="K50" s="79"/>
      <c r="L50" s="77"/>
      <c r="M50" s="79"/>
      <c r="N50" s="79"/>
      <c r="O50" s="79"/>
      <c r="P50" s="79"/>
      <c r="Q50" s="79"/>
      <c r="R50" s="79"/>
      <c r="S50" s="79"/>
      <c r="T50" s="79"/>
      <c r="U50" s="77"/>
      <c r="V50" s="77"/>
      <c r="W50" s="77"/>
      <c r="X50" s="77"/>
      <c r="Y50" s="77"/>
      <c r="Z50" s="77"/>
      <c r="AA50" s="77"/>
      <c r="AB50" s="77"/>
      <c r="AC50" s="77"/>
      <c r="AD50" s="77"/>
    </row>
    <row r="51" spans="1:30" s="76" customFormat="1" ht="27" customHeight="1" hidden="1" outlineLevel="1">
      <c r="A51" s="7"/>
      <c r="B51" s="78" t="s">
        <v>140</v>
      </c>
      <c r="C51" s="7" t="s">
        <v>121</v>
      </c>
      <c r="D51" s="79"/>
      <c r="E51" s="79"/>
      <c r="F51" s="79"/>
      <c r="G51" s="79"/>
      <c r="H51" s="79"/>
      <c r="I51" s="79"/>
      <c r="J51" s="79"/>
      <c r="K51" s="79"/>
      <c r="L51" s="77"/>
      <c r="M51" s="79"/>
      <c r="N51" s="79"/>
      <c r="O51" s="79"/>
      <c r="P51" s="79"/>
      <c r="Q51" s="79"/>
      <c r="R51" s="79"/>
      <c r="S51" s="79"/>
      <c r="T51" s="79"/>
      <c r="U51" s="77"/>
      <c r="V51" s="77"/>
      <c r="W51" s="77"/>
      <c r="X51" s="77"/>
      <c r="Y51" s="77"/>
      <c r="Z51" s="77"/>
      <c r="AA51" s="77"/>
      <c r="AB51" s="77"/>
      <c r="AC51" s="77"/>
      <c r="AD51" s="77"/>
    </row>
    <row r="52" spans="1:30" s="76" customFormat="1" ht="27" customHeight="1" hidden="1" outlineLevel="1">
      <c r="A52" s="7"/>
      <c r="B52" s="78" t="s">
        <v>141</v>
      </c>
      <c r="C52" s="7" t="s">
        <v>121</v>
      </c>
      <c r="D52" s="79"/>
      <c r="E52" s="79"/>
      <c r="F52" s="79"/>
      <c r="G52" s="79"/>
      <c r="H52" s="79"/>
      <c r="I52" s="79"/>
      <c r="J52" s="79"/>
      <c r="K52" s="79"/>
      <c r="L52" s="77"/>
      <c r="M52" s="79"/>
      <c r="N52" s="79"/>
      <c r="O52" s="79"/>
      <c r="P52" s="79"/>
      <c r="Q52" s="79"/>
      <c r="R52" s="79"/>
      <c r="S52" s="79"/>
      <c r="T52" s="79"/>
      <c r="U52" s="77"/>
      <c r="V52" s="77"/>
      <c r="W52" s="77"/>
      <c r="X52" s="77"/>
      <c r="Y52" s="77"/>
      <c r="Z52" s="77"/>
      <c r="AA52" s="77"/>
      <c r="AB52" s="77"/>
      <c r="AC52" s="77"/>
      <c r="AD52" s="77"/>
    </row>
    <row r="53" spans="1:30" s="76" customFormat="1" ht="27" customHeight="1" hidden="1" outlineLevel="1">
      <c r="A53" s="7" t="s">
        <v>126</v>
      </c>
      <c r="B53" s="78" t="s">
        <v>127</v>
      </c>
      <c r="C53" s="7" t="s">
        <v>121</v>
      </c>
      <c r="D53" s="79"/>
      <c r="E53" s="79"/>
      <c r="F53" s="79"/>
      <c r="G53" s="79"/>
      <c r="H53" s="79"/>
      <c r="I53" s="79"/>
      <c r="J53" s="79"/>
      <c r="K53" s="79"/>
      <c r="L53" s="77"/>
      <c r="M53" s="79"/>
      <c r="N53" s="79"/>
      <c r="O53" s="79"/>
      <c r="P53" s="79"/>
      <c r="Q53" s="79"/>
      <c r="R53" s="79"/>
      <c r="S53" s="79"/>
      <c r="T53" s="79"/>
      <c r="U53" s="77"/>
      <c r="V53" s="77"/>
      <c r="W53" s="77"/>
      <c r="X53" s="77"/>
      <c r="Y53" s="77"/>
      <c r="Z53" s="77"/>
      <c r="AA53" s="77"/>
      <c r="AB53" s="77"/>
      <c r="AC53" s="77"/>
      <c r="AD53" s="77"/>
    </row>
    <row r="54" spans="1:30" s="76" customFormat="1" ht="27" customHeight="1" hidden="1" outlineLevel="1">
      <c r="A54" s="7" t="s">
        <v>36</v>
      </c>
      <c r="B54" s="78" t="s">
        <v>128</v>
      </c>
      <c r="C54" s="7"/>
      <c r="D54" s="79"/>
      <c r="E54" s="79"/>
      <c r="F54" s="79"/>
      <c r="G54" s="79"/>
      <c r="H54" s="79"/>
      <c r="I54" s="79"/>
      <c r="J54" s="79"/>
      <c r="K54" s="79"/>
      <c r="L54" s="77"/>
      <c r="M54" s="79"/>
      <c r="N54" s="79"/>
      <c r="O54" s="79"/>
      <c r="P54" s="79"/>
      <c r="Q54" s="79"/>
      <c r="R54" s="79"/>
      <c r="S54" s="79"/>
      <c r="T54" s="79"/>
      <c r="U54" s="77"/>
      <c r="V54" s="77"/>
      <c r="W54" s="77"/>
      <c r="X54" s="77"/>
      <c r="Y54" s="77"/>
      <c r="Z54" s="77"/>
      <c r="AA54" s="77"/>
      <c r="AB54" s="77"/>
      <c r="AC54" s="77"/>
      <c r="AD54" s="77"/>
    </row>
    <row r="55" spans="1:30" s="76" customFormat="1" ht="27" customHeight="1" hidden="1" outlineLevel="1">
      <c r="A55" s="7" t="s">
        <v>37</v>
      </c>
      <c r="B55" s="78" t="s">
        <v>129</v>
      </c>
      <c r="C55" s="7" t="s">
        <v>130</v>
      </c>
      <c r="D55" s="79"/>
      <c r="E55" s="79"/>
      <c r="F55" s="79"/>
      <c r="G55" s="79"/>
      <c r="H55" s="79"/>
      <c r="I55" s="79"/>
      <c r="J55" s="79"/>
      <c r="K55" s="79"/>
      <c r="L55" s="77"/>
      <c r="M55" s="79"/>
      <c r="N55" s="79"/>
      <c r="O55" s="79"/>
      <c r="P55" s="79"/>
      <c r="Q55" s="79"/>
      <c r="R55" s="79"/>
      <c r="S55" s="79"/>
      <c r="T55" s="79"/>
      <c r="U55" s="77"/>
      <c r="V55" s="77"/>
      <c r="W55" s="77"/>
      <c r="X55" s="77"/>
      <c r="Y55" s="77"/>
      <c r="Z55" s="77"/>
      <c r="AA55" s="77"/>
      <c r="AB55" s="77"/>
      <c r="AC55" s="77"/>
      <c r="AD55" s="77"/>
    </row>
    <row r="56" spans="1:30" s="76" customFormat="1" ht="27" customHeight="1" hidden="1" outlineLevel="1">
      <c r="A56" s="7" t="s">
        <v>131</v>
      </c>
      <c r="B56" s="78" t="s">
        <v>132</v>
      </c>
      <c r="C56" s="7" t="s">
        <v>121</v>
      </c>
      <c r="D56" s="79"/>
      <c r="E56" s="79"/>
      <c r="F56" s="79"/>
      <c r="G56" s="79"/>
      <c r="H56" s="79"/>
      <c r="I56" s="79"/>
      <c r="J56" s="79"/>
      <c r="K56" s="79"/>
      <c r="L56" s="77"/>
      <c r="M56" s="79"/>
      <c r="N56" s="79"/>
      <c r="O56" s="79"/>
      <c r="P56" s="79"/>
      <c r="Q56" s="79"/>
      <c r="R56" s="79"/>
      <c r="S56" s="79"/>
      <c r="T56" s="79"/>
      <c r="U56" s="77"/>
      <c r="V56" s="77"/>
      <c r="W56" s="77"/>
      <c r="X56" s="77"/>
      <c r="Y56" s="77"/>
      <c r="Z56" s="77"/>
      <c r="AA56" s="77"/>
      <c r="AB56" s="77"/>
      <c r="AC56" s="77"/>
      <c r="AD56" s="77"/>
    </row>
    <row r="57" spans="1:30" s="76" customFormat="1" ht="27" customHeight="1" hidden="1" outlineLevel="1">
      <c r="A57" s="7" t="s">
        <v>133</v>
      </c>
      <c r="B57" s="78" t="s">
        <v>134</v>
      </c>
      <c r="C57" s="7" t="s">
        <v>135</v>
      </c>
      <c r="D57" s="79"/>
      <c r="E57" s="79"/>
      <c r="F57" s="79"/>
      <c r="G57" s="79"/>
      <c r="H57" s="79"/>
      <c r="I57" s="79"/>
      <c r="J57" s="79"/>
      <c r="K57" s="79"/>
      <c r="L57" s="77"/>
      <c r="M57" s="79"/>
      <c r="N57" s="79"/>
      <c r="O57" s="79"/>
      <c r="P57" s="79"/>
      <c r="Q57" s="79"/>
      <c r="R57" s="79"/>
      <c r="S57" s="79"/>
      <c r="T57" s="79"/>
      <c r="U57" s="77"/>
      <c r="V57" s="77"/>
      <c r="W57" s="77"/>
      <c r="X57" s="77"/>
      <c r="Y57" s="77"/>
      <c r="Z57" s="77"/>
      <c r="AA57" s="77"/>
      <c r="AB57" s="77"/>
      <c r="AC57" s="77"/>
      <c r="AD57" s="77"/>
    </row>
    <row r="58" spans="1:30" s="76" customFormat="1" ht="27" customHeight="1" hidden="1" outlineLevel="1">
      <c r="A58" s="7"/>
      <c r="B58" s="78" t="s">
        <v>136</v>
      </c>
      <c r="C58" s="7" t="s">
        <v>135</v>
      </c>
      <c r="D58" s="79"/>
      <c r="E58" s="79"/>
      <c r="F58" s="79"/>
      <c r="G58" s="79"/>
      <c r="H58" s="79"/>
      <c r="I58" s="79"/>
      <c r="J58" s="79"/>
      <c r="K58" s="79"/>
      <c r="L58" s="77"/>
      <c r="M58" s="79"/>
      <c r="N58" s="79"/>
      <c r="O58" s="79"/>
      <c r="P58" s="79"/>
      <c r="Q58" s="79"/>
      <c r="R58" s="79"/>
      <c r="S58" s="79"/>
      <c r="T58" s="79"/>
      <c r="U58" s="77"/>
      <c r="V58" s="77"/>
      <c r="W58" s="77"/>
      <c r="X58" s="77"/>
      <c r="Y58" s="77"/>
      <c r="Z58" s="77"/>
      <c r="AA58" s="77"/>
      <c r="AB58" s="77"/>
      <c r="AC58" s="77"/>
      <c r="AD58" s="77"/>
    </row>
    <row r="59" spans="1:30" s="76" customFormat="1" ht="27" customHeight="1" hidden="1" outlineLevel="1">
      <c r="A59" s="7"/>
      <c r="B59" s="78" t="s">
        <v>137</v>
      </c>
      <c r="C59" s="7" t="s">
        <v>135</v>
      </c>
      <c r="D59" s="79"/>
      <c r="E59" s="79"/>
      <c r="F59" s="79"/>
      <c r="G59" s="79"/>
      <c r="H59" s="79"/>
      <c r="I59" s="79"/>
      <c r="J59" s="79"/>
      <c r="K59" s="79"/>
      <c r="L59" s="77"/>
      <c r="M59" s="79"/>
      <c r="N59" s="79"/>
      <c r="O59" s="79"/>
      <c r="P59" s="79"/>
      <c r="Q59" s="79"/>
      <c r="R59" s="79"/>
      <c r="S59" s="79"/>
      <c r="T59" s="79"/>
      <c r="U59" s="77"/>
      <c r="V59" s="77"/>
      <c r="W59" s="77"/>
      <c r="X59" s="77"/>
      <c r="Y59" s="77"/>
      <c r="Z59" s="77"/>
      <c r="AA59" s="77"/>
      <c r="AB59" s="77"/>
      <c r="AC59" s="77"/>
      <c r="AD59" s="77"/>
    </row>
    <row r="60" spans="1:30" s="76" customFormat="1" ht="27" customHeight="1" hidden="1" outlineLevel="1">
      <c r="A60" s="7"/>
      <c r="B60" s="78" t="s">
        <v>187</v>
      </c>
      <c r="C60" s="7"/>
      <c r="D60" s="79"/>
      <c r="E60" s="79"/>
      <c r="F60" s="79"/>
      <c r="G60" s="79"/>
      <c r="H60" s="79"/>
      <c r="I60" s="79"/>
      <c r="J60" s="79"/>
      <c r="K60" s="79"/>
      <c r="L60" s="77"/>
      <c r="M60" s="79"/>
      <c r="N60" s="79"/>
      <c r="O60" s="79"/>
      <c r="P60" s="79"/>
      <c r="Q60" s="79"/>
      <c r="R60" s="79"/>
      <c r="S60" s="79"/>
      <c r="T60" s="79"/>
      <c r="U60" s="77"/>
      <c r="V60" s="77"/>
      <c r="W60" s="77"/>
      <c r="X60" s="77"/>
      <c r="Y60" s="77"/>
      <c r="Z60" s="77"/>
      <c r="AA60" s="77"/>
      <c r="AB60" s="77"/>
      <c r="AC60" s="77"/>
      <c r="AD60" s="77"/>
    </row>
    <row r="61" spans="1:30" s="76" customFormat="1" ht="27" customHeight="1" hidden="1" outlineLevel="1">
      <c r="A61" s="7"/>
      <c r="B61" s="78" t="s">
        <v>111</v>
      </c>
      <c r="C61" s="7" t="s">
        <v>100</v>
      </c>
      <c r="D61" s="83">
        <f>D35+D42+D23</f>
        <v>2343.2865048407775</v>
      </c>
      <c r="E61" s="83">
        <f>E35+E42+E23</f>
        <v>2541.1619717378067</v>
      </c>
      <c r="F61" s="79"/>
      <c r="G61" s="83">
        <f>G35+G42+G23</f>
        <v>2547.511304995891</v>
      </c>
      <c r="H61" s="83">
        <f>H35+H42+H23</f>
        <v>2655.1213049958906</v>
      </c>
      <c r="I61" s="79"/>
      <c r="J61" s="83">
        <f>J35+J42+J23</f>
        <v>2655.1213049958906</v>
      </c>
      <c r="K61" s="83">
        <f>K35+K42+K23</f>
        <v>3070.1819353956607</v>
      </c>
      <c r="L61" s="77"/>
      <c r="M61" s="83">
        <f>M35+M42+M23</f>
        <v>2343.2865048407775</v>
      </c>
      <c r="N61" s="83">
        <f>N35+N42+N23</f>
        <v>2541.1619717378067</v>
      </c>
      <c r="O61" s="79"/>
      <c r="P61" s="83">
        <f>P35+P42+P23</f>
        <v>2547.511304995891</v>
      </c>
      <c r="Q61" s="83">
        <f>Q35+Q42+Q23</f>
        <v>2655.1213049958906</v>
      </c>
      <c r="R61" s="79"/>
      <c r="S61" s="83">
        <f>S35+S42+S23</f>
        <v>2655.1213049958906</v>
      </c>
      <c r="T61" s="83">
        <f>T35+T42+T23</f>
        <v>3070.1819353956607</v>
      </c>
      <c r="U61" s="77"/>
      <c r="V61" s="83">
        <f>V35+V42+V23</f>
        <v>2665.198891774451</v>
      </c>
      <c r="W61" s="83">
        <f>W35+W42+W23</f>
        <v>2761.5182918877426</v>
      </c>
      <c r="X61" s="77"/>
      <c r="Y61" s="83">
        <f>Y35+Y42+Y23</f>
        <v>2759.8843829787234</v>
      </c>
      <c r="Z61" s="83">
        <f>Z35+Z42+Z23</f>
        <v>3269.624382978723</v>
      </c>
      <c r="AA61" s="77"/>
      <c r="AB61" s="83">
        <f>AB35+AB42+AB23</f>
        <v>3269.624382978723</v>
      </c>
      <c r="AC61" s="83">
        <f>AC35+AC42+AC23</f>
        <v>4028.560752763879</v>
      </c>
      <c r="AD61" s="77"/>
    </row>
    <row r="62" spans="1:30" s="76" customFormat="1" ht="27" customHeight="1" hidden="1" outlineLevel="1">
      <c r="A62" s="7"/>
      <c r="B62" s="78" t="s">
        <v>112</v>
      </c>
      <c r="C62" s="7" t="s">
        <v>100</v>
      </c>
      <c r="D62" s="83">
        <f>D37+D42+D23</f>
        <v>2334.4865048407773</v>
      </c>
      <c r="E62" s="83">
        <f>E37+E42+E23</f>
        <v>2530.0619717378067</v>
      </c>
      <c r="F62" s="79"/>
      <c r="G62" s="83">
        <f>G37+G42+G23</f>
        <v>2536.361304995891</v>
      </c>
      <c r="H62" s="83">
        <f>H37+H42+H23</f>
        <v>2638.131304995891</v>
      </c>
      <c r="I62" s="79"/>
      <c r="J62" s="83">
        <f>J37+J42+J23</f>
        <v>2638.131304995891</v>
      </c>
      <c r="K62" s="83">
        <f>K37+K42+K23</f>
        <v>3049.15193539566</v>
      </c>
      <c r="L62" s="77"/>
      <c r="M62" s="83">
        <v>2334.4865048407773</v>
      </c>
      <c r="N62" s="83">
        <v>2530.0619717378067</v>
      </c>
      <c r="O62" s="79"/>
      <c r="P62" s="83">
        <v>2536.361304995891</v>
      </c>
      <c r="Q62" s="83">
        <v>2638.131304995891</v>
      </c>
      <c r="R62" s="79"/>
      <c r="S62" s="83">
        <v>2638.131304995891</v>
      </c>
      <c r="T62" s="83">
        <v>3049.15193539566</v>
      </c>
      <c r="U62" s="77"/>
      <c r="V62" s="83">
        <f>V37+V42+V23</f>
        <v>2649.836891774451</v>
      </c>
      <c r="W62" s="83">
        <f>W37+W42+W23</f>
        <v>2751.2122918877426</v>
      </c>
      <c r="X62" s="77"/>
      <c r="Y62" s="83">
        <f>Y37+Y42+Y23</f>
        <v>2748.9243829787233</v>
      </c>
      <c r="Z62" s="83">
        <f>Z37+Z42+Z23</f>
        <v>3239.8143829787236</v>
      </c>
      <c r="AA62" s="77"/>
      <c r="AB62" s="83">
        <f>AB37+AB42+AB23</f>
        <v>3239.8143829787236</v>
      </c>
      <c r="AC62" s="83">
        <f>AC37+AC42+AC23</f>
        <v>4008.3007527638792</v>
      </c>
      <c r="AD62" s="77"/>
    </row>
    <row r="63" spans="1:30" s="76" customFormat="1" ht="27" customHeight="1" hidden="1" outlineLevel="1">
      <c r="A63" s="7"/>
      <c r="B63" s="78" t="s">
        <v>113</v>
      </c>
      <c r="C63" s="7" t="s">
        <v>100</v>
      </c>
      <c r="D63" s="83">
        <f>D42+D39+D23</f>
        <v>2284.4865048407773</v>
      </c>
      <c r="E63" s="83">
        <f>E42+E39+E23</f>
        <v>2460.861971737807</v>
      </c>
      <c r="F63" s="79"/>
      <c r="G63" s="83">
        <f>G42+G39+G23</f>
        <v>2467.2013049958905</v>
      </c>
      <c r="H63" s="83">
        <f>H42+H39+H23</f>
        <v>2543.6213049958906</v>
      </c>
      <c r="I63" s="79"/>
      <c r="J63" s="83">
        <f>J42+J39+J23</f>
        <v>2543.6213049958906</v>
      </c>
      <c r="K63" s="83">
        <f>K42+K39+K23</f>
        <v>2921.5919353956606</v>
      </c>
      <c r="L63" s="77"/>
      <c r="M63" s="83">
        <v>2284.4865048407773</v>
      </c>
      <c r="N63" s="83">
        <v>2460.861971737807</v>
      </c>
      <c r="O63" s="79"/>
      <c r="P63" s="83">
        <v>2467.2013049958905</v>
      </c>
      <c r="Q63" s="83">
        <v>2543.6213049958906</v>
      </c>
      <c r="R63" s="79"/>
      <c r="S63" s="83">
        <v>2543.6213049958906</v>
      </c>
      <c r="T63" s="83">
        <v>2921.5919353956606</v>
      </c>
      <c r="U63" s="77"/>
      <c r="V63" s="83">
        <f>V42+V39+V23</f>
        <v>2556.075891774451</v>
      </c>
      <c r="W63" s="83">
        <f>W42+W39+W23</f>
        <v>2685.7222918877424</v>
      </c>
      <c r="X63" s="77"/>
      <c r="Y63" s="83">
        <f>Y42+Y39+Y23</f>
        <v>2682.4843829787233</v>
      </c>
      <c r="Z63" s="83">
        <f>Z42+Z39+Z23</f>
        <v>3062.7843829787234</v>
      </c>
      <c r="AA63" s="77"/>
      <c r="AB63" s="83">
        <f>AB42+AB39+AB23</f>
        <v>3062.7843829787234</v>
      </c>
      <c r="AC63" s="83">
        <f>AC42+AC39+AC23</f>
        <v>3895.070752763879</v>
      </c>
      <c r="AD63" s="77"/>
    </row>
    <row r="64" spans="1:30" s="76" customFormat="1" ht="27" customHeight="1" hidden="1" outlineLevel="1">
      <c r="A64" s="7"/>
      <c r="B64" s="78" t="s">
        <v>114</v>
      </c>
      <c r="C64" s="7" t="s">
        <v>100</v>
      </c>
      <c r="D64" s="79"/>
      <c r="E64" s="79"/>
      <c r="F64" s="79"/>
      <c r="G64" s="79"/>
      <c r="H64" s="79"/>
      <c r="I64" s="79"/>
      <c r="J64" s="79"/>
      <c r="K64" s="79"/>
      <c r="L64" s="77"/>
      <c r="M64" s="79"/>
      <c r="N64" s="79"/>
      <c r="O64" s="79"/>
      <c r="P64" s="79"/>
      <c r="Q64" s="79"/>
      <c r="R64" s="79"/>
      <c r="S64" s="79"/>
      <c r="T64" s="79"/>
      <c r="U64" s="77"/>
      <c r="V64" s="77"/>
      <c r="W64" s="77"/>
      <c r="X64" s="77"/>
      <c r="Y64" s="77"/>
      <c r="Z64" s="77"/>
      <c r="AA64" s="77"/>
      <c r="AB64" s="77"/>
      <c r="AC64" s="77"/>
      <c r="AD64" s="77"/>
    </row>
    <row r="65" s="59" customFormat="1" ht="17.25" customHeight="1" collapsed="1">
      <c r="A65" s="58" t="s">
        <v>142</v>
      </c>
    </row>
    <row r="100" ht="15.75"/>
    <row r="106" ht="15.75"/>
    <row r="107" ht="15.75"/>
    <row r="109" ht="15.75"/>
  </sheetData>
  <sheetProtection password="A51B" sheet="1" objects="1" scenarios="1" selectLockedCells="1" selectUnlockedCells="1"/>
  <mergeCells count="26">
    <mergeCell ref="V8:W8"/>
    <mergeCell ref="Y8:Z8"/>
    <mergeCell ref="AB8:AC8"/>
    <mergeCell ref="Z1:AC1"/>
    <mergeCell ref="V6:W6"/>
    <mergeCell ref="Y6:Z6"/>
    <mergeCell ref="AB6:AC6"/>
    <mergeCell ref="H1:K1"/>
    <mergeCell ref="A6:A7"/>
    <mergeCell ref="B6:B7"/>
    <mergeCell ref="C6:C7"/>
    <mergeCell ref="D6:E6"/>
    <mergeCell ref="A4:U4"/>
    <mergeCell ref="A3:U3"/>
    <mergeCell ref="Q1:T1"/>
    <mergeCell ref="M6:N6"/>
    <mergeCell ref="P6:Q6"/>
    <mergeCell ref="D8:E8"/>
    <mergeCell ref="G8:H8"/>
    <mergeCell ref="J8:K8"/>
    <mergeCell ref="G6:H6"/>
    <mergeCell ref="J6:K6"/>
    <mergeCell ref="S6:T6"/>
    <mergeCell ref="M8:N8"/>
    <mergeCell ref="P8:Q8"/>
    <mergeCell ref="S8:T8"/>
  </mergeCells>
  <printOptions/>
  <pageMargins left="0.7874015748031497" right="0.7086614173228347" top="0.7874015748031497" bottom="0.3937007874015748" header="0.1968503937007874" footer="0.1968503937007874"/>
  <pageSetup horizontalDpi="600" verticalDpi="600" orientation="landscape" paperSize="9" scale="56" r:id="rId3"/>
  <headerFooter alignWithMargins="0">
    <oddHeader>&amp;R&amp;"Times New Roman,обычный"&amp;7
</oddHeader>
  </headerFooter>
  <legacyDrawing r:id="rId2"/>
</worksheet>
</file>

<file path=xl/worksheets/sheet4.xml><?xml version="1.0" encoding="utf-8"?>
<worksheet xmlns="http://schemas.openxmlformats.org/spreadsheetml/2006/main" xmlns:r="http://schemas.openxmlformats.org/officeDocument/2006/relationships">
  <dimension ref="A1:L60"/>
  <sheetViews>
    <sheetView zoomScale="50" zoomScaleNormal="50" zoomScaleSheetLayoutView="100" workbookViewId="0" topLeftCell="A4">
      <pane xSplit="3" ySplit="5" topLeftCell="J9" activePane="bottomRight" state="frozen"/>
      <selection pane="topLeft" activeCell="A4" sqref="A4"/>
      <selection pane="topRight" activeCell="D4" sqref="D4"/>
      <selection pane="bottomLeft" activeCell="A9" sqref="A9"/>
      <selection pane="bottomRight" activeCell="S41" sqref="S41"/>
    </sheetView>
  </sheetViews>
  <sheetFormatPr defaultColWidth="9.00390625" defaultRowHeight="12.75" outlineLevelRow="1" outlineLevelCol="2"/>
  <cols>
    <col min="1" max="1" width="6.625" style="24" customWidth="1"/>
    <col min="2" max="2" width="31.00390625" style="24" customWidth="1"/>
    <col min="3" max="3" width="12.25390625" style="24" customWidth="1"/>
    <col min="4" max="6" width="24.75390625" style="24" hidden="1" customWidth="1" outlineLevel="2"/>
    <col min="7" max="9" width="24.75390625" style="26" hidden="1" customWidth="1" outlineLevel="1"/>
    <col min="10" max="10" width="24.75390625" style="26" customWidth="1" collapsed="1"/>
    <col min="11" max="12" width="24.75390625" style="26" customWidth="1"/>
    <col min="13" max="16384" width="9.125" style="24" customWidth="1"/>
  </cols>
  <sheetData>
    <row r="1" ht="54" customHeight="1">
      <c r="F1" s="25" t="s">
        <v>57</v>
      </c>
    </row>
    <row r="2" ht="15.75"/>
    <row r="3" ht="15.75"/>
    <row r="4" spans="1:12" ht="31.5" customHeight="1">
      <c r="A4" s="181" t="s">
        <v>74</v>
      </c>
      <c r="B4" s="181"/>
      <c r="C4" s="181"/>
      <c r="D4" s="181"/>
      <c r="E4" s="181"/>
      <c r="F4" s="181"/>
      <c r="G4" s="181"/>
      <c r="H4" s="181"/>
      <c r="I4" s="181"/>
      <c r="J4" s="116"/>
      <c r="K4" s="116"/>
      <c r="L4" s="116"/>
    </row>
    <row r="5" spans="1:12" ht="15.75">
      <c r="A5" s="182" t="s">
        <v>193</v>
      </c>
      <c r="B5" s="182"/>
      <c r="C5" s="182"/>
      <c r="D5" s="182"/>
      <c r="E5" s="182"/>
      <c r="F5" s="182"/>
      <c r="G5" s="182"/>
      <c r="H5" s="182"/>
      <c r="I5" s="182"/>
      <c r="J5" s="118"/>
      <c r="K5" s="118"/>
      <c r="L5" s="118"/>
    </row>
    <row r="6" ht="15.75"/>
    <row r="7" spans="1:12" s="2" customFormat="1" ht="78.75">
      <c r="A7" s="12" t="s">
        <v>53</v>
      </c>
      <c r="B7" s="12" t="s">
        <v>0</v>
      </c>
      <c r="C7" s="12" t="s">
        <v>1</v>
      </c>
      <c r="D7" s="12" t="s">
        <v>56</v>
      </c>
      <c r="E7" s="23" t="s">
        <v>55</v>
      </c>
      <c r="F7" s="12" t="s">
        <v>54</v>
      </c>
      <c r="G7" s="12" t="s">
        <v>56</v>
      </c>
      <c r="H7" s="12" t="s">
        <v>55</v>
      </c>
      <c r="I7" s="12" t="s">
        <v>54</v>
      </c>
      <c r="J7" s="12" t="s">
        <v>56</v>
      </c>
      <c r="K7" s="12" t="s">
        <v>55</v>
      </c>
      <c r="L7" s="12" t="s">
        <v>54</v>
      </c>
    </row>
    <row r="8" spans="1:12" s="2" customFormat="1" ht="15.75" hidden="1" outlineLevel="1">
      <c r="A8" s="12"/>
      <c r="B8" s="12"/>
      <c r="C8" s="12"/>
      <c r="D8" s="12">
        <v>2013</v>
      </c>
      <c r="E8" s="23">
        <v>2014</v>
      </c>
      <c r="F8" s="12">
        <v>2015</v>
      </c>
      <c r="G8" s="12" t="s">
        <v>189</v>
      </c>
      <c r="H8" s="12" t="s">
        <v>190</v>
      </c>
      <c r="I8" s="12" t="s">
        <v>191</v>
      </c>
      <c r="J8" s="12" t="s">
        <v>190</v>
      </c>
      <c r="K8" s="12" t="s">
        <v>191</v>
      </c>
      <c r="L8" s="12" t="s">
        <v>200</v>
      </c>
    </row>
    <row r="9" spans="1:12" ht="35.25" customHeight="1" collapsed="1">
      <c r="A9" s="12" t="s">
        <v>2</v>
      </c>
      <c r="B9" s="27" t="s">
        <v>3</v>
      </c>
      <c r="C9" s="12"/>
      <c r="D9" s="28"/>
      <c r="E9" s="29"/>
      <c r="F9" s="28"/>
      <c r="G9" s="28"/>
      <c r="H9" s="28"/>
      <c r="I9" s="28"/>
      <c r="J9" s="28"/>
      <c r="K9" s="28"/>
      <c r="L9" s="28"/>
    </row>
    <row r="10" spans="1:12" ht="28.5" customHeight="1">
      <c r="A10" s="12" t="s">
        <v>4</v>
      </c>
      <c r="B10" s="27" t="s">
        <v>5</v>
      </c>
      <c r="C10" s="12" t="s">
        <v>6</v>
      </c>
      <c r="D10" s="30">
        <f>D59+D37+D39</f>
        <v>14102.3</v>
      </c>
      <c r="E10" s="31">
        <f>E59+E37+E39</f>
        <v>12798.457</v>
      </c>
      <c r="F10" s="30">
        <f>F59+F37+F39</f>
        <v>15110.87985</v>
      </c>
      <c r="G10" s="28">
        <v>11641</v>
      </c>
      <c r="H10" s="66">
        <f>10063.3+2401.8618</f>
        <v>12465.1618</v>
      </c>
      <c r="I10" s="33">
        <v>12372</v>
      </c>
      <c r="J10" s="28">
        <v>11394</v>
      </c>
      <c r="K10" s="66">
        <v>20310.76</v>
      </c>
      <c r="L10" s="30">
        <f>L59+L37+L39</f>
        <v>30737.4</v>
      </c>
    </row>
    <row r="11" spans="1:12" ht="28.5" customHeight="1">
      <c r="A11" s="12" t="s">
        <v>7</v>
      </c>
      <c r="B11" s="27" t="s">
        <v>8</v>
      </c>
      <c r="C11" s="12" t="s">
        <v>6</v>
      </c>
      <c r="D11" s="30">
        <f>D58</f>
        <v>-2434</v>
      </c>
      <c r="E11" s="31">
        <f>E58</f>
        <v>558</v>
      </c>
      <c r="F11" s="30">
        <f>F58</f>
        <v>1141</v>
      </c>
      <c r="G11" s="28">
        <f>-6455</f>
        <v>-6455</v>
      </c>
      <c r="H11" s="28">
        <f>-61.19</f>
        <v>-61.19</v>
      </c>
      <c r="I11" s="33">
        <v>1141</v>
      </c>
      <c r="J11" s="28">
        <f>-5342.1</f>
        <v>-5342.1</v>
      </c>
      <c r="K11" s="28">
        <v>672.18</v>
      </c>
      <c r="L11" s="30">
        <f>L58</f>
        <v>10294.810000000001</v>
      </c>
    </row>
    <row r="12" spans="1:12" ht="59.25" customHeight="1">
      <c r="A12" s="12" t="s">
        <v>9</v>
      </c>
      <c r="B12" s="27" t="s">
        <v>10</v>
      </c>
      <c r="C12" s="12" t="s">
        <v>6</v>
      </c>
      <c r="D12" s="30">
        <f>D11+D34</f>
        <v>-1636</v>
      </c>
      <c r="E12" s="31">
        <f>E11+E34</f>
        <v>1391</v>
      </c>
      <c r="F12" s="30">
        <f>F11+F34</f>
        <v>1930</v>
      </c>
      <c r="G12" s="30">
        <f>G11+G34</f>
        <v>-5547.3</v>
      </c>
      <c r="H12" s="30">
        <f>H11+H34</f>
        <v>360.21</v>
      </c>
      <c r="I12" s="30">
        <v>1930</v>
      </c>
      <c r="J12" s="30">
        <f>J11+J34</f>
        <v>-4415.1</v>
      </c>
      <c r="K12" s="30">
        <f>K11+K34</f>
        <v>3721.35</v>
      </c>
      <c r="L12" s="30">
        <f>L11+L34</f>
        <v>11438.300000000001</v>
      </c>
    </row>
    <row r="13" spans="1:12" ht="27.75" customHeight="1">
      <c r="A13" s="12" t="s">
        <v>11</v>
      </c>
      <c r="B13" s="27" t="s">
        <v>12</v>
      </c>
      <c r="C13" s="12" t="s">
        <v>6</v>
      </c>
      <c r="D13" s="34">
        <v>0</v>
      </c>
      <c r="E13" s="42">
        <v>0</v>
      </c>
      <c r="F13" s="34">
        <v>0</v>
      </c>
      <c r="G13" s="28">
        <f>-7704</f>
        <v>-7704</v>
      </c>
      <c r="H13" s="28">
        <v>0</v>
      </c>
      <c r="I13" s="28">
        <v>0</v>
      </c>
      <c r="J13" s="28">
        <f>-6737</f>
        <v>-6737</v>
      </c>
      <c r="K13" s="28">
        <v>0</v>
      </c>
      <c r="L13" s="28">
        <v>0</v>
      </c>
    </row>
    <row r="14" spans="1:12" ht="41.25" customHeight="1">
      <c r="A14" s="12" t="s">
        <v>13</v>
      </c>
      <c r="B14" s="27" t="s">
        <v>14</v>
      </c>
      <c r="C14" s="12"/>
      <c r="D14" s="28"/>
      <c r="E14" s="29"/>
      <c r="F14" s="28"/>
      <c r="G14" s="28"/>
      <c r="H14" s="28"/>
      <c r="I14" s="28"/>
      <c r="J14" s="28"/>
      <c r="K14" s="28"/>
      <c r="L14" s="28"/>
    </row>
    <row r="15" spans="1:12" ht="94.5">
      <c r="A15" s="12" t="s">
        <v>15</v>
      </c>
      <c r="B15" s="27" t="s">
        <v>65</v>
      </c>
      <c r="C15" s="12" t="s">
        <v>16</v>
      </c>
      <c r="D15" s="36">
        <f aca="true" t="shared" si="0" ref="D15:I15">D11/D10</f>
        <v>-0.17259595952433293</v>
      </c>
      <c r="E15" s="37">
        <f t="shared" si="0"/>
        <v>0.04359900572389312</v>
      </c>
      <c r="F15" s="36">
        <f t="shared" si="0"/>
        <v>0.07550850852672222</v>
      </c>
      <c r="G15" s="67">
        <f t="shared" si="0"/>
        <v>-0.5545056266643759</v>
      </c>
      <c r="H15" s="67">
        <f t="shared" si="0"/>
        <v>-0.0049088813271561385</v>
      </c>
      <c r="I15" s="67">
        <f t="shared" si="0"/>
        <v>0.09222437762689945</v>
      </c>
      <c r="J15" s="67">
        <f>J11/J10</f>
        <v>-0.4688520273828331</v>
      </c>
      <c r="K15" s="67">
        <f>K11/K10</f>
        <v>0.033094773410743863</v>
      </c>
      <c r="L15" s="67">
        <f>L11/L10</f>
        <v>0.3349278078171869</v>
      </c>
    </row>
    <row r="16" spans="1:12" ht="58.5" customHeight="1">
      <c r="A16" s="12" t="s">
        <v>17</v>
      </c>
      <c r="B16" s="27" t="s">
        <v>64</v>
      </c>
      <c r="C16" s="12"/>
      <c r="D16" s="28"/>
      <c r="E16" s="29"/>
      <c r="F16" s="28"/>
      <c r="G16" s="28"/>
      <c r="H16" s="28"/>
      <c r="I16" s="28"/>
      <c r="J16" s="28"/>
      <c r="K16" s="28"/>
      <c r="L16" s="28"/>
    </row>
    <row r="17" spans="1:12" ht="60.75" customHeight="1">
      <c r="A17" s="12" t="s">
        <v>18</v>
      </c>
      <c r="B17" s="27" t="s">
        <v>58</v>
      </c>
      <c r="C17" s="12" t="s">
        <v>19</v>
      </c>
      <c r="D17" s="39"/>
      <c r="E17" s="40"/>
      <c r="F17" s="39"/>
      <c r="G17" s="41">
        <v>0</v>
      </c>
      <c r="H17" s="41">
        <v>0</v>
      </c>
      <c r="I17" s="41">
        <v>0</v>
      </c>
      <c r="J17" s="41">
        <v>0</v>
      </c>
      <c r="K17" s="41">
        <v>0</v>
      </c>
      <c r="L17" s="41">
        <v>0</v>
      </c>
    </row>
    <row r="18" spans="1:12" ht="39.75" customHeight="1">
      <c r="A18" s="12" t="s">
        <v>20</v>
      </c>
      <c r="B18" s="27" t="s">
        <v>59</v>
      </c>
      <c r="C18" s="12" t="s">
        <v>21</v>
      </c>
      <c r="D18" s="39"/>
      <c r="E18" s="40"/>
      <c r="F18" s="39"/>
      <c r="G18" s="41">
        <v>0</v>
      </c>
      <c r="H18" s="41">
        <v>0</v>
      </c>
      <c r="I18" s="41">
        <v>0</v>
      </c>
      <c r="J18" s="41">
        <v>0</v>
      </c>
      <c r="K18" s="41">
        <v>0</v>
      </c>
      <c r="L18" s="41">
        <v>0</v>
      </c>
    </row>
    <row r="19" spans="1:12" ht="24.75" customHeight="1">
      <c r="A19" s="12" t="s">
        <v>22</v>
      </c>
      <c r="B19" s="27" t="s">
        <v>60</v>
      </c>
      <c r="C19" s="12" t="s">
        <v>19</v>
      </c>
      <c r="D19" s="33">
        <v>1.53</v>
      </c>
      <c r="E19" s="42">
        <v>1.93</v>
      </c>
      <c r="F19" s="33">
        <f>E19</f>
        <v>1.93</v>
      </c>
      <c r="G19" s="32">
        <v>1.7123</v>
      </c>
      <c r="H19" s="32">
        <v>1.932</v>
      </c>
      <c r="I19" s="32">
        <v>1.932</v>
      </c>
      <c r="J19" s="32">
        <v>2.0463</v>
      </c>
      <c r="K19" s="32">
        <v>1.9959</v>
      </c>
      <c r="L19" s="32">
        <v>2.6016</v>
      </c>
    </row>
    <row r="20" spans="1:12" ht="39" customHeight="1">
      <c r="A20" s="12" t="s">
        <v>167</v>
      </c>
      <c r="B20" s="27" t="s">
        <v>166</v>
      </c>
      <c r="C20" s="12" t="s">
        <v>61</v>
      </c>
      <c r="D20" s="34">
        <v>13240</v>
      </c>
      <c r="E20" s="35">
        <v>16540</v>
      </c>
      <c r="F20" s="34">
        <v>15036</v>
      </c>
      <c r="G20" s="28"/>
      <c r="H20" s="28"/>
      <c r="I20" s="28">
        <v>15036</v>
      </c>
      <c r="J20" s="28"/>
      <c r="K20" s="28"/>
      <c r="L20" s="28"/>
    </row>
    <row r="21" spans="1:12" ht="76.5" customHeight="1">
      <c r="A21" s="12" t="s">
        <v>24</v>
      </c>
      <c r="B21" s="27" t="s">
        <v>62</v>
      </c>
      <c r="C21" s="12" t="s">
        <v>23</v>
      </c>
      <c r="D21" s="34">
        <v>7183.23</v>
      </c>
      <c r="E21" s="35">
        <f>D21</f>
        <v>7183.23</v>
      </c>
      <c r="F21" s="34">
        <f>E21</f>
        <v>7183.23</v>
      </c>
      <c r="G21" s="28"/>
      <c r="H21" s="28"/>
      <c r="I21" s="28"/>
      <c r="J21" s="28"/>
      <c r="K21" s="28"/>
      <c r="L21" s="28"/>
    </row>
    <row r="22" spans="1:12" ht="173.25">
      <c r="A22" s="12" t="s">
        <v>25</v>
      </c>
      <c r="B22" s="27" t="s">
        <v>63</v>
      </c>
      <c r="C22" s="12" t="s">
        <v>16</v>
      </c>
      <c r="D22" s="45" t="s">
        <v>175</v>
      </c>
      <c r="E22" s="46" t="s">
        <v>176</v>
      </c>
      <c r="F22" s="45" t="s">
        <v>177</v>
      </c>
      <c r="G22" s="46" t="s">
        <v>176</v>
      </c>
      <c r="H22" s="45" t="s">
        <v>177</v>
      </c>
      <c r="I22" s="45" t="s">
        <v>177</v>
      </c>
      <c r="J22" s="45" t="s">
        <v>177</v>
      </c>
      <c r="K22" s="45" t="s">
        <v>177</v>
      </c>
      <c r="L22" s="45" t="s">
        <v>202</v>
      </c>
    </row>
    <row r="23" spans="1:12" ht="220.5">
      <c r="A23" s="12" t="s">
        <v>26</v>
      </c>
      <c r="B23" s="27" t="s">
        <v>66</v>
      </c>
      <c r="C23" s="12"/>
      <c r="D23" s="45" t="s">
        <v>164</v>
      </c>
      <c r="E23" s="46" t="s">
        <v>164</v>
      </c>
      <c r="F23" s="45" t="s">
        <v>165</v>
      </c>
      <c r="G23" s="28"/>
      <c r="H23" s="28"/>
      <c r="I23" s="45" t="s">
        <v>165</v>
      </c>
      <c r="J23" s="45" t="s">
        <v>165</v>
      </c>
      <c r="K23" s="45" t="s">
        <v>165</v>
      </c>
      <c r="L23" s="45" t="s">
        <v>165</v>
      </c>
    </row>
    <row r="24" spans="1:12" ht="93.75">
      <c r="A24" s="12" t="s">
        <v>27</v>
      </c>
      <c r="B24" s="27" t="s">
        <v>67</v>
      </c>
      <c r="C24" s="12" t="s">
        <v>21</v>
      </c>
      <c r="D24" s="39"/>
      <c r="E24" s="40"/>
      <c r="F24" s="39"/>
      <c r="G24" s="28"/>
      <c r="H24" s="28"/>
      <c r="I24" s="28"/>
      <c r="J24" s="28"/>
      <c r="K24" s="28"/>
      <c r="L24" s="28"/>
    </row>
    <row r="25" spans="1:12" ht="72" customHeight="1">
      <c r="A25" s="12" t="s">
        <v>28</v>
      </c>
      <c r="B25" s="27" t="s">
        <v>29</v>
      </c>
      <c r="C25" s="12"/>
      <c r="D25" s="30">
        <f aca="true" t="shared" si="1" ref="D25:I25">D10</f>
        <v>14102.3</v>
      </c>
      <c r="E25" s="31">
        <f t="shared" si="1"/>
        <v>12798.457</v>
      </c>
      <c r="F25" s="30">
        <f t="shared" si="1"/>
        <v>15110.87985</v>
      </c>
      <c r="G25" s="30">
        <f t="shared" si="1"/>
        <v>11641</v>
      </c>
      <c r="H25" s="30">
        <f t="shared" si="1"/>
        <v>12465.1618</v>
      </c>
      <c r="I25" s="30">
        <f t="shared" si="1"/>
        <v>12372</v>
      </c>
      <c r="J25" s="30">
        <f>J10</f>
        <v>11394</v>
      </c>
      <c r="K25" s="30">
        <f>K10</f>
        <v>20310.76</v>
      </c>
      <c r="L25" s="30">
        <f>L10</f>
        <v>30737.4</v>
      </c>
    </row>
    <row r="26" spans="1:12" ht="90" customHeight="1">
      <c r="A26" s="12" t="s">
        <v>30</v>
      </c>
      <c r="B26" s="27" t="s">
        <v>156</v>
      </c>
      <c r="C26" s="12" t="s">
        <v>6</v>
      </c>
      <c r="D26" s="47">
        <f>D28+D29+D30</f>
        <v>7124.999999999999</v>
      </c>
      <c r="E26" s="48">
        <f>E28+E29+E30</f>
        <v>8654</v>
      </c>
      <c r="F26" s="47">
        <f>F28+F29+F30</f>
        <v>10732</v>
      </c>
      <c r="G26" s="47">
        <f>G28+G29+G30</f>
        <v>7021.3</v>
      </c>
      <c r="H26" s="47">
        <f>H28+H29+H30</f>
        <v>9768.6</v>
      </c>
      <c r="I26" s="47">
        <v>10372</v>
      </c>
      <c r="J26" s="47">
        <f>J28+J29+J30</f>
        <v>10431.66</v>
      </c>
      <c r="K26" s="47">
        <f>K28+K29+K30</f>
        <v>12428.440000000002</v>
      </c>
      <c r="L26" s="47">
        <f>L28+L29+L30</f>
        <v>26883.700000000004</v>
      </c>
    </row>
    <row r="27" spans="1:12" ht="27" customHeight="1">
      <c r="A27" s="12"/>
      <c r="B27" s="27" t="s">
        <v>68</v>
      </c>
      <c r="C27" s="12"/>
      <c r="D27" s="30"/>
      <c r="E27" s="29"/>
      <c r="F27" s="28"/>
      <c r="G27" s="28"/>
      <c r="H27" s="28"/>
      <c r="I27" s="28"/>
      <c r="J27" s="28"/>
      <c r="K27" s="28"/>
      <c r="L27" s="28"/>
    </row>
    <row r="28" spans="1:12" ht="27" customHeight="1">
      <c r="A28" s="12"/>
      <c r="B28" s="27" t="s">
        <v>31</v>
      </c>
      <c r="C28" s="12"/>
      <c r="D28" s="34">
        <f>6090+1592</f>
        <v>7682</v>
      </c>
      <c r="E28" s="42">
        <f>5138+1552</f>
        <v>6690</v>
      </c>
      <c r="F28" s="33">
        <f>5808+1754</f>
        <v>7562</v>
      </c>
      <c r="G28" s="33">
        <v>9297.6</v>
      </c>
      <c r="H28" s="33"/>
      <c r="I28" s="33">
        <v>7562</v>
      </c>
      <c r="J28" s="33">
        <v>9399</v>
      </c>
      <c r="K28" s="33">
        <f>7863.2+2390.41</f>
        <v>10253.61</v>
      </c>
      <c r="L28" s="33">
        <f>11235.53+3393.13</f>
        <v>14628.66</v>
      </c>
    </row>
    <row r="29" spans="1:12" ht="27" customHeight="1">
      <c r="A29" s="12"/>
      <c r="B29" s="27" t="s">
        <v>32</v>
      </c>
      <c r="C29" s="12"/>
      <c r="D29" s="34">
        <v>33</v>
      </c>
      <c r="E29" s="42">
        <v>0</v>
      </c>
      <c r="F29" s="33">
        <v>0</v>
      </c>
      <c r="G29" s="33"/>
      <c r="H29" s="33"/>
      <c r="I29" s="33"/>
      <c r="J29" s="33"/>
      <c r="K29" s="33">
        <v>269.26</v>
      </c>
      <c r="L29" s="33">
        <v>72.91</v>
      </c>
    </row>
    <row r="30" spans="1:12" ht="27" customHeight="1">
      <c r="A30" s="12"/>
      <c r="B30" s="27" t="s">
        <v>33</v>
      </c>
      <c r="C30" s="12"/>
      <c r="D30" s="30">
        <f>D59+D37+D39-D29-D28-D32-D40-D41</f>
        <v>-590.0000000000009</v>
      </c>
      <c r="E30" s="31">
        <f>E59+E37+E39-E29-E28-E32-E40-E41</f>
        <v>1964</v>
      </c>
      <c r="F30" s="30">
        <f>F59+F37+F39-F29-F28-F32-F40-F41</f>
        <v>3170</v>
      </c>
      <c r="G30" s="30">
        <f>G59+G37+G39-G29-G28-G32-G40-G41</f>
        <v>-2276.3</v>
      </c>
      <c r="H30" s="30">
        <f>H59+H37+H39-H29-H28-H32-H40-H41</f>
        <v>9768.6</v>
      </c>
      <c r="I30" s="30">
        <v>3170</v>
      </c>
      <c r="J30" s="30">
        <f>J59+J37+J39-J29-J28-J32-J40-J41</f>
        <v>1032.6599999999999</v>
      </c>
      <c r="K30" s="30">
        <f>K59+K37+K39-K29-K28-K32-K40-K41</f>
        <v>1905.570000000001</v>
      </c>
      <c r="L30" s="30">
        <f>L59+L37+L39-L29-L28-L32-L40-L41</f>
        <v>12182.130000000003</v>
      </c>
    </row>
    <row r="31" spans="1:12" ht="27" customHeight="1" hidden="1" outlineLevel="1">
      <c r="A31" s="12"/>
      <c r="B31" s="49" t="s">
        <v>157</v>
      </c>
      <c r="C31" s="12"/>
      <c r="D31" s="30"/>
      <c r="E31" s="31"/>
      <c r="F31" s="30"/>
      <c r="G31" s="28"/>
      <c r="H31" s="28"/>
      <c r="I31" s="28"/>
      <c r="J31" s="28"/>
      <c r="K31" s="28"/>
      <c r="L31" s="28"/>
    </row>
    <row r="32" spans="1:12" ht="85.5" customHeight="1" collapsed="1">
      <c r="A32" s="12" t="s">
        <v>34</v>
      </c>
      <c r="B32" s="27" t="s">
        <v>69</v>
      </c>
      <c r="C32" s="12" t="s">
        <v>6</v>
      </c>
      <c r="D32" s="30">
        <f aca="true" t="shared" si="2" ref="D32:I32">SUM(D33:D39)</f>
        <v>6977.3</v>
      </c>
      <c r="E32" s="31">
        <f t="shared" si="2"/>
        <v>4144.457</v>
      </c>
      <c r="F32" s="30">
        <f t="shared" si="2"/>
        <v>4378.879849999999</v>
      </c>
      <c r="G32" s="30">
        <f t="shared" si="2"/>
        <v>907.7</v>
      </c>
      <c r="H32" s="30">
        <f t="shared" si="2"/>
        <v>421.4</v>
      </c>
      <c r="I32" s="30">
        <f t="shared" si="2"/>
        <v>1640</v>
      </c>
      <c r="J32" s="30">
        <f>SUM(J33:J39)</f>
        <v>962.34</v>
      </c>
      <c r="K32" s="30">
        <f>SUM(K33:K39)</f>
        <v>4275.96</v>
      </c>
      <c r="L32" s="30">
        <f>SUM(L33:L39)</f>
        <v>2375.89</v>
      </c>
    </row>
    <row r="33" spans="1:12" ht="38.25" customHeight="1" hidden="1" outlineLevel="1">
      <c r="A33" s="12"/>
      <c r="B33" s="50" t="s">
        <v>149</v>
      </c>
      <c r="C33" s="12"/>
      <c r="D33" s="34">
        <v>0</v>
      </c>
      <c r="E33" s="42">
        <v>0</v>
      </c>
      <c r="F33" s="33">
        <v>0</v>
      </c>
      <c r="G33" s="33"/>
      <c r="H33" s="33"/>
      <c r="I33" s="33"/>
      <c r="J33" s="33"/>
      <c r="K33" s="33"/>
      <c r="L33" s="33"/>
    </row>
    <row r="34" spans="1:12" ht="43.5" customHeight="1" hidden="1" outlineLevel="1">
      <c r="A34" s="12"/>
      <c r="B34" s="50" t="s">
        <v>152</v>
      </c>
      <c r="C34" s="12"/>
      <c r="D34" s="34">
        <v>798</v>
      </c>
      <c r="E34" s="42">
        <v>833</v>
      </c>
      <c r="F34" s="34">
        <v>789</v>
      </c>
      <c r="G34" s="28">
        <v>907.7</v>
      </c>
      <c r="H34" s="28">
        <v>421.4</v>
      </c>
      <c r="I34" s="28">
        <v>789</v>
      </c>
      <c r="J34" s="28">
        <v>927</v>
      </c>
      <c r="K34" s="28">
        <v>3049.17</v>
      </c>
      <c r="L34" s="28">
        <v>1143.49</v>
      </c>
    </row>
    <row r="35" spans="1:12" ht="94.5" hidden="1" outlineLevel="1">
      <c r="A35" s="12"/>
      <c r="B35" s="50" t="s">
        <v>155</v>
      </c>
      <c r="C35" s="12"/>
      <c r="D35" s="34">
        <v>0</v>
      </c>
      <c r="E35" s="42">
        <v>0</v>
      </c>
      <c r="F35" s="33">
        <v>0</v>
      </c>
      <c r="G35" s="33"/>
      <c r="H35" s="33"/>
      <c r="I35" s="33"/>
      <c r="J35" s="33"/>
      <c r="K35" s="33"/>
      <c r="L35" s="33"/>
    </row>
    <row r="36" spans="1:12" ht="84" customHeight="1" hidden="1" outlineLevel="1">
      <c r="A36" s="12"/>
      <c r="B36" s="50" t="s">
        <v>150</v>
      </c>
      <c r="C36" s="12"/>
      <c r="D36" s="34">
        <v>0</v>
      </c>
      <c r="E36" s="42">
        <v>686</v>
      </c>
      <c r="F36" s="33">
        <v>844</v>
      </c>
      <c r="G36" s="28"/>
      <c r="H36" s="28"/>
      <c r="I36" s="28">
        <v>844</v>
      </c>
      <c r="J36" s="28">
        <v>16.4</v>
      </c>
      <c r="K36" s="28">
        <v>1192.8</v>
      </c>
      <c r="L36" s="28">
        <v>1207</v>
      </c>
    </row>
    <row r="37" spans="1:12" ht="78.75" hidden="1" outlineLevel="1">
      <c r="A37" s="12"/>
      <c r="B37" s="50" t="s">
        <v>151</v>
      </c>
      <c r="C37" s="12"/>
      <c r="D37" s="34">
        <v>0</v>
      </c>
      <c r="E37" s="42">
        <v>0</v>
      </c>
      <c r="F37" s="33">
        <v>0</v>
      </c>
      <c r="G37" s="28"/>
      <c r="H37" s="28"/>
      <c r="I37" s="28"/>
      <c r="J37" s="28"/>
      <c r="K37" s="28"/>
      <c r="L37" s="28"/>
    </row>
    <row r="38" spans="1:12" ht="78.75" hidden="1" outlineLevel="1">
      <c r="A38" s="12"/>
      <c r="B38" s="27" t="s">
        <v>154</v>
      </c>
      <c r="C38" s="12"/>
      <c r="D38" s="34">
        <v>6</v>
      </c>
      <c r="E38" s="42">
        <v>17</v>
      </c>
      <c r="F38" s="33">
        <v>7</v>
      </c>
      <c r="G38" s="28"/>
      <c r="H38" s="28"/>
      <c r="I38" s="28">
        <v>7</v>
      </c>
      <c r="J38" s="28">
        <v>18.94</v>
      </c>
      <c r="K38" s="28">
        <v>33.99</v>
      </c>
      <c r="L38" s="28">
        <v>25.4</v>
      </c>
    </row>
    <row r="39" spans="1:12" ht="63" hidden="1" outlineLevel="1">
      <c r="A39" s="12"/>
      <c r="B39" s="27" t="s">
        <v>153</v>
      </c>
      <c r="C39" s="12"/>
      <c r="D39" s="34">
        <v>6173.3</v>
      </c>
      <c r="E39" s="68">
        <v>2608.457</v>
      </c>
      <c r="F39" s="34">
        <f>E39*1.05</f>
        <v>2738.87985</v>
      </c>
      <c r="G39" s="28"/>
      <c r="H39" s="28"/>
      <c r="I39" s="28"/>
      <c r="J39" s="28"/>
      <c r="K39" s="28"/>
      <c r="L39" s="28"/>
    </row>
    <row r="40" spans="1:12" ht="60.75" customHeight="1" collapsed="1">
      <c r="A40" s="12" t="s">
        <v>35</v>
      </c>
      <c r="B40" s="27" t="s">
        <v>70</v>
      </c>
      <c r="C40" s="12" t="s">
        <v>6</v>
      </c>
      <c r="D40" s="33">
        <v>0</v>
      </c>
      <c r="E40" s="42">
        <v>0</v>
      </c>
      <c r="F40" s="34">
        <v>0</v>
      </c>
      <c r="G40" s="28"/>
      <c r="H40" s="28"/>
      <c r="I40" s="28"/>
      <c r="J40" s="28"/>
      <c r="K40" s="28">
        <v>3606.6</v>
      </c>
      <c r="L40" s="28">
        <v>1477.81</v>
      </c>
    </row>
    <row r="41" spans="1:12" ht="43.5" customHeight="1">
      <c r="A41" s="12" t="s">
        <v>36</v>
      </c>
      <c r="B41" s="27" t="s">
        <v>75</v>
      </c>
      <c r="C41" s="12" t="s">
        <v>6</v>
      </c>
      <c r="D41" s="28">
        <v>0</v>
      </c>
      <c r="E41" s="29">
        <v>0</v>
      </c>
      <c r="F41" s="30">
        <v>0</v>
      </c>
      <c r="G41" s="28"/>
      <c r="H41" s="28"/>
      <c r="I41" s="28"/>
      <c r="J41" s="28"/>
      <c r="K41" s="28"/>
      <c r="L41" s="28"/>
    </row>
    <row r="42" spans="1:12" ht="88.5" customHeight="1">
      <c r="A42" s="12" t="s">
        <v>37</v>
      </c>
      <c r="B42" s="27" t="s">
        <v>38</v>
      </c>
      <c r="C42" s="12"/>
      <c r="D42" s="28" t="s">
        <v>161</v>
      </c>
      <c r="E42" s="29" t="s">
        <v>161</v>
      </c>
      <c r="F42" s="57" t="s">
        <v>160</v>
      </c>
      <c r="G42" s="28"/>
      <c r="H42" s="28"/>
      <c r="I42" s="57" t="s">
        <v>160</v>
      </c>
      <c r="J42" s="57" t="s">
        <v>160</v>
      </c>
      <c r="K42" s="57" t="s">
        <v>160</v>
      </c>
      <c r="L42" s="57" t="s">
        <v>160</v>
      </c>
    </row>
    <row r="43" spans="1:12" ht="27" customHeight="1">
      <c r="A43" s="12"/>
      <c r="B43" s="54" t="s">
        <v>39</v>
      </c>
      <c r="C43" s="12"/>
      <c r="D43" s="28"/>
      <c r="E43" s="29"/>
      <c r="F43" s="28"/>
      <c r="G43" s="28"/>
      <c r="H43" s="28"/>
      <c r="I43" s="28"/>
      <c r="J43" s="28"/>
      <c r="K43" s="28"/>
      <c r="L43" s="28"/>
    </row>
    <row r="44" spans="1:12" ht="30.75" customHeight="1">
      <c r="A44" s="12"/>
      <c r="B44" s="27" t="s">
        <v>71</v>
      </c>
      <c r="C44" s="12" t="s">
        <v>40</v>
      </c>
      <c r="D44" s="33">
        <v>373.847</v>
      </c>
      <c r="E44" s="42">
        <v>376.16200000000003</v>
      </c>
      <c r="F44" s="33">
        <v>378.7</v>
      </c>
      <c r="G44" s="33">
        <f>186.12+187.3</f>
        <v>373.42</v>
      </c>
      <c r="H44" s="33">
        <f>186.12+187.3</f>
        <v>373.42</v>
      </c>
      <c r="I44" s="33">
        <v>378.7</v>
      </c>
      <c r="J44" s="33">
        <v>366.03</v>
      </c>
      <c r="K44" s="33">
        <v>384.59</v>
      </c>
      <c r="L44" s="33">
        <v>388.13</v>
      </c>
    </row>
    <row r="45" spans="1:12" ht="37.5">
      <c r="A45" s="12"/>
      <c r="B45" s="27" t="s">
        <v>72</v>
      </c>
      <c r="C45" s="12" t="s">
        <v>41</v>
      </c>
      <c r="D45" s="43">
        <f aca="true" t="shared" si="3" ref="D45:I45">D32/D44</f>
        <v>18.663517428252735</v>
      </c>
      <c r="E45" s="44">
        <f t="shared" si="3"/>
        <v>11.017745014116258</v>
      </c>
      <c r="F45" s="43">
        <f t="shared" si="3"/>
        <v>11.562925402693423</v>
      </c>
      <c r="G45" s="43">
        <f t="shared" si="3"/>
        <v>2.430774998661025</v>
      </c>
      <c r="H45" s="43">
        <f t="shared" si="3"/>
        <v>1.1284880295645652</v>
      </c>
      <c r="I45" s="43">
        <f t="shared" si="3"/>
        <v>4.3306047002904675</v>
      </c>
      <c r="J45" s="43">
        <f>J32/J44</f>
        <v>2.6291287599377102</v>
      </c>
      <c r="K45" s="43">
        <f>K32/K44</f>
        <v>11.11822980316701</v>
      </c>
      <c r="L45" s="43">
        <f>L32/L44</f>
        <v>6.121376858269136</v>
      </c>
    </row>
    <row r="46" spans="1:12" ht="72.75" customHeight="1">
      <c r="A46" s="12" t="s">
        <v>42</v>
      </c>
      <c r="B46" s="27" t="s">
        <v>43</v>
      </c>
      <c r="C46" s="12"/>
      <c r="D46" s="28"/>
      <c r="E46" s="29"/>
      <c r="F46" s="28"/>
      <c r="G46" s="28"/>
      <c r="H46" s="28"/>
      <c r="I46" s="28"/>
      <c r="J46" s="28"/>
      <c r="K46" s="28"/>
      <c r="L46" s="28"/>
    </row>
    <row r="47" spans="1:12" ht="41.25" customHeight="1">
      <c r="A47" s="12" t="s">
        <v>44</v>
      </c>
      <c r="B47" s="27" t="s">
        <v>45</v>
      </c>
      <c r="C47" s="12" t="s">
        <v>46</v>
      </c>
      <c r="D47" s="34">
        <v>22.732994253807103</v>
      </c>
      <c r="E47" s="56">
        <v>19.610614216872342</v>
      </c>
      <c r="F47" s="55">
        <v>19.610614216872342</v>
      </c>
      <c r="G47" s="28"/>
      <c r="H47" s="28"/>
      <c r="I47" s="55">
        <v>19.610614216872342</v>
      </c>
      <c r="J47" s="28">
        <v>16</v>
      </c>
      <c r="K47" s="28">
        <v>21.5</v>
      </c>
      <c r="L47" s="28">
        <v>28.75</v>
      </c>
    </row>
    <row r="48" spans="1:12" ht="47.25">
      <c r="A48" s="12" t="s">
        <v>47</v>
      </c>
      <c r="B48" s="27" t="s">
        <v>48</v>
      </c>
      <c r="C48" s="12" t="s">
        <v>73</v>
      </c>
      <c r="D48" s="34">
        <v>22325.38095866415</v>
      </c>
      <c r="E48" s="35">
        <f>5138/12*1000/E47</f>
        <v>21833.414391390448</v>
      </c>
      <c r="F48" s="34">
        <v>25049.030655425027</v>
      </c>
      <c r="G48" s="28"/>
      <c r="H48" s="28"/>
      <c r="I48" s="34">
        <v>25049.030655425027</v>
      </c>
      <c r="J48" s="66">
        <f>7469/J47/12</f>
        <v>38.901041666666664</v>
      </c>
      <c r="K48" s="66">
        <f>7863.2/K47/12</f>
        <v>30.47751937984496</v>
      </c>
      <c r="L48" s="66">
        <f>11235.5/L47/12</f>
        <v>32.56666666666667</v>
      </c>
    </row>
    <row r="49" spans="1:12" ht="102.75" customHeight="1">
      <c r="A49" s="12" t="s">
        <v>49</v>
      </c>
      <c r="B49" s="27" t="s">
        <v>50</v>
      </c>
      <c r="C49" s="12"/>
      <c r="D49" s="45" t="s">
        <v>159</v>
      </c>
      <c r="E49" s="53" t="s">
        <v>158</v>
      </c>
      <c r="F49" s="57" t="s">
        <v>158</v>
      </c>
      <c r="G49" s="28"/>
      <c r="H49" s="28"/>
      <c r="I49" s="57" t="s">
        <v>158</v>
      </c>
      <c r="J49" s="28"/>
      <c r="K49" s="28"/>
      <c r="L49" s="28"/>
    </row>
    <row r="50" spans="1:12" ht="27" customHeight="1">
      <c r="A50" s="12"/>
      <c r="B50" s="54" t="s">
        <v>39</v>
      </c>
      <c r="C50" s="12"/>
      <c r="D50" s="28"/>
      <c r="E50" s="29"/>
      <c r="F50" s="28"/>
      <c r="G50" s="28"/>
      <c r="H50" s="28"/>
      <c r="I50" s="28"/>
      <c r="J50" s="28"/>
      <c r="K50" s="28"/>
      <c r="L50" s="28"/>
    </row>
    <row r="51" spans="1:12" ht="65.25" customHeight="1">
      <c r="A51" s="12"/>
      <c r="B51" s="27" t="s">
        <v>51</v>
      </c>
      <c r="C51" s="12" t="s">
        <v>6</v>
      </c>
      <c r="D51" s="28">
        <v>36561</v>
      </c>
      <c r="E51" s="29">
        <f>D51-15000</f>
        <v>21561</v>
      </c>
      <c r="F51" s="28">
        <f>E51</f>
        <v>21561</v>
      </c>
      <c r="G51" s="28"/>
      <c r="H51" s="28"/>
      <c r="I51" s="28">
        <v>0</v>
      </c>
      <c r="J51" s="28"/>
      <c r="K51" s="28"/>
      <c r="L51" s="28"/>
    </row>
    <row r="52" spans="1:12" ht="68.25" customHeight="1">
      <c r="A52" s="12"/>
      <c r="B52" s="27" t="s">
        <v>52</v>
      </c>
      <c r="C52" s="12" t="s">
        <v>6</v>
      </c>
      <c r="D52" s="28">
        <f>70539-D51</f>
        <v>33978</v>
      </c>
      <c r="E52" s="29">
        <f>88663+10000-15000-62820+15000</f>
        <v>35843</v>
      </c>
      <c r="F52" s="30">
        <f>(88663+10000+F13-15000)-(62820+F41)</f>
        <v>20843</v>
      </c>
      <c r="G52" s="28"/>
      <c r="H52" s="28"/>
      <c r="I52" s="30">
        <f>(88663+10000+I13-15000)-(62820+I41)</f>
        <v>20843</v>
      </c>
      <c r="J52" s="28"/>
      <c r="K52" s="28"/>
      <c r="L52" s="28"/>
    </row>
    <row r="53" spans="1:12" s="59" customFormat="1" ht="19.5" customHeight="1">
      <c r="A53" s="59" t="s">
        <v>204</v>
      </c>
      <c r="F53" s="69"/>
      <c r="G53" s="60"/>
      <c r="H53" s="60"/>
      <c r="I53" s="60"/>
      <c r="J53" s="60"/>
      <c r="K53" s="60"/>
      <c r="L53" s="60"/>
    </row>
    <row r="54" spans="1:12" s="59" customFormat="1" ht="15.75">
      <c r="A54" s="59" t="s">
        <v>205</v>
      </c>
      <c r="F54" s="69"/>
      <c r="G54" s="60"/>
      <c r="H54" s="60"/>
      <c r="I54" s="60"/>
      <c r="J54" s="60"/>
      <c r="K54" s="60"/>
      <c r="L54" s="60"/>
    </row>
    <row r="55" spans="1:12" s="59" customFormat="1" ht="15.75">
      <c r="A55" s="59" t="s">
        <v>206</v>
      </c>
      <c r="F55" s="69"/>
      <c r="G55" s="60"/>
      <c r="H55" s="60"/>
      <c r="I55" s="60"/>
      <c r="J55" s="60"/>
      <c r="K55" s="60"/>
      <c r="L55" s="60"/>
    </row>
    <row r="56" spans="1:12" s="59" customFormat="1" ht="15.75">
      <c r="A56" s="59" t="s">
        <v>207</v>
      </c>
      <c r="F56" s="69"/>
      <c r="G56" s="60"/>
      <c r="H56" s="60"/>
      <c r="I56" s="60"/>
      <c r="J56" s="60"/>
      <c r="K56" s="60"/>
      <c r="L56" s="60"/>
    </row>
    <row r="57" spans="1:12" ht="31.5" hidden="1" outlineLevel="1">
      <c r="A57" s="12"/>
      <c r="B57" s="27" t="s">
        <v>168</v>
      </c>
      <c r="C57" s="12" t="s">
        <v>6</v>
      </c>
      <c r="D57" s="61">
        <v>10363</v>
      </c>
      <c r="E57" s="62">
        <v>9632</v>
      </c>
      <c r="F57" s="61">
        <v>11231</v>
      </c>
      <c r="G57" s="61">
        <v>10363</v>
      </c>
      <c r="H57" s="62">
        <v>9632</v>
      </c>
      <c r="I57" s="61">
        <v>11231</v>
      </c>
      <c r="J57" s="61">
        <v>12530.17</v>
      </c>
      <c r="K57" s="62">
        <v>19638.56</v>
      </c>
      <c r="L57" s="61">
        <v>20442.59</v>
      </c>
    </row>
    <row r="58" spans="1:12" ht="15.75" hidden="1" outlineLevel="1">
      <c r="A58" s="12"/>
      <c r="B58" s="27" t="s">
        <v>8</v>
      </c>
      <c r="C58" s="12"/>
      <c r="D58" s="63">
        <f aca="true" t="shared" si="4" ref="D58:I58">D59-D57</f>
        <v>-2434</v>
      </c>
      <c r="E58" s="64">
        <f t="shared" si="4"/>
        <v>558</v>
      </c>
      <c r="F58" s="63">
        <f t="shared" si="4"/>
        <v>1141</v>
      </c>
      <c r="G58" s="63">
        <f t="shared" si="4"/>
        <v>-2434</v>
      </c>
      <c r="H58" s="64">
        <f t="shared" si="4"/>
        <v>558</v>
      </c>
      <c r="I58" s="63">
        <f t="shared" si="4"/>
        <v>1141</v>
      </c>
      <c r="J58" s="63">
        <f>J59-J57</f>
        <v>-1136.17</v>
      </c>
      <c r="K58" s="64">
        <f>K59-K57</f>
        <v>672.4399999999987</v>
      </c>
      <c r="L58" s="63">
        <f>L59-L57</f>
        <v>10294.810000000001</v>
      </c>
    </row>
    <row r="59" spans="1:12" ht="17.25" customHeight="1" hidden="1" outlineLevel="1">
      <c r="A59" s="12"/>
      <c r="B59" s="27" t="s">
        <v>169</v>
      </c>
      <c r="C59" s="12" t="s">
        <v>6</v>
      </c>
      <c r="D59" s="61">
        <v>7929</v>
      </c>
      <c r="E59" s="62">
        <v>10190</v>
      </c>
      <c r="F59" s="61">
        <v>12372</v>
      </c>
      <c r="G59" s="61">
        <v>7929</v>
      </c>
      <c r="H59" s="62">
        <v>10190</v>
      </c>
      <c r="I59" s="61">
        <v>12372</v>
      </c>
      <c r="J59" s="61">
        <v>11394</v>
      </c>
      <c r="K59" s="62">
        <v>20311</v>
      </c>
      <c r="L59" s="61">
        <v>30737.4</v>
      </c>
    </row>
    <row r="60" spans="1:12" ht="15.75" hidden="1" collapsed="1">
      <c r="A60" s="65"/>
      <c r="B60" s="65" t="s">
        <v>170</v>
      </c>
      <c r="C60" s="65"/>
      <c r="D60" s="63">
        <f aca="true" t="shared" si="5" ref="D60:I60">D25-D26-D32-D40-D41</f>
        <v>0</v>
      </c>
      <c r="E60" s="64">
        <f t="shared" si="5"/>
        <v>0</v>
      </c>
      <c r="F60" s="63">
        <f t="shared" si="5"/>
        <v>0</v>
      </c>
      <c r="G60" s="63">
        <f t="shared" si="5"/>
        <v>3712</v>
      </c>
      <c r="H60" s="64">
        <f t="shared" si="5"/>
        <v>2275.1617999999994</v>
      </c>
      <c r="I60" s="63">
        <f t="shared" si="5"/>
        <v>360</v>
      </c>
      <c r="J60" s="63">
        <f>J25-J26-J32-J40-J41</f>
        <v>1.1368683772161603E-13</v>
      </c>
      <c r="K60" s="64">
        <f>K25-K26-K32-K40-K41</f>
        <v>-0.24000000000387445</v>
      </c>
      <c r="L60" s="63">
        <f>L25-L26-L32-L40-L41</f>
        <v>-2.7284841053187847E-12</v>
      </c>
    </row>
  </sheetData>
  <sheetProtection password="A51B" sheet="1" objects="1" scenarios="1" selectLockedCells="1" selectUnlockedCells="1"/>
  <mergeCells count="2">
    <mergeCell ref="A5:I5"/>
    <mergeCell ref="A4:I4"/>
  </mergeCells>
  <printOptions/>
  <pageMargins left="0.7874015748031497" right="0.2" top="0.23" bottom="0.3937007874015748" header="0.2" footer="0.1968503937007874"/>
  <pageSetup blackAndWhite="1" horizontalDpi="600" verticalDpi="600" orientation="portrait" paperSize="9" scale="55"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0" max="5" man="1"/>
  </rowBreaks>
  <legacyDrawing r:id="rId2"/>
</worksheet>
</file>

<file path=xl/worksheets/sheet5.xml><?xml version="1.0" encoding="utf-8"?>
<worksheet xmlns="http://schemas.openxmlformats.org/spreadsheetml/2006/main" xmlns:r="http://schemas.openxmlformats.org/officeDocument/2006/relationships">
  <dimension ref="A1:V56"/>
  <sheetViews>
    <sheetView zoomScale="75" zoomScaleNormal="75" zoomScaleSheetLayoutView="75" workbookViewId="0" topLeftCell="A1">
      <pane xSplit="3" ySplit="10" topLeftCell="E11" activePane="bottomRight" state="frozen"/>
      <selection pane="topLeft" activeCell="A1" sqref="A1"/>
      <selection pane="topRight" activeCell="D1" sqref="D1"/>
      <selection pane="bottomLeft" activeCell="A11" sqref="A11"/>
      <selection pane="bottomRight" activeCell="M62" sqref="M62"/>
    </sheetView>
  </sheetViews>
  <sheetFormatPr defaultColWidth="9.00390625" defaultRowHeight="12.75" outlineLevelRow="1" outlineLevelCol="2"/>
  <cols>
    <col min="1" max="1" width="7.75390625" style="1" customWidth="1"/>
    <col min="2" max="2" width="45.00390625" style="1" customWidth="1"/>
    <col min="3" max="3" width="17.00390625" style="1" customWidth="1"/>
    <col min="4" max="4" width="15.25390625" style="1" hidden="1" customWidth="1" outlineLevel="2"/>
    <col min="5" max="5" width="15.125" style="1" hidden="1" customWidth="1" outlineLevel="2"/>
    <col min="6" max="6" width="11.375" style="1" hidden="1" customWidth="1" outlineLevel="2"/>
    <col min="7" max="7" width="15.25390625" style="1" hidden="1" customWidth="1" outlineLevel="2" collapsed="1"/>
    <col min="8" max="8" width="15.25390625" style="1" hidden="1" customWidth="1" outlineLevel="2"/>
    <col min="9" max="9" width="14.00390625" style="1" hidden="1" customWidth="1" outlineLevel="2"/>
    <col min="10" max="10" width="15.125" style="1" hidden="1" customWidth="1" outlineLevel="2"/>
    <col min="11" max="11" width="15.875" style="1" hidden="1" customWidth="1" outlineLevel="2"/>
    <col min="12" max="12" width="15.00390625" style="1" hidden="1" customWidth="1" outlineLevel="2"/>
    <col min="13" max="13" width="14.625" style="1" customWidth="1" collapsed="1"/>
    <col min="14" max="14" width="15.25390625" style="1" customWidth="1"/>
    <col min="15" max="15" width="12.875" style="1" hidden="1" customWidth="1" outlineLevel="1"/>
    <col min="16" max="16" width="15.25390625" style="1" customWidth="1" collapsed="1"/>
    <col min="17" max="17" width="14.375" style="1" customWidth="1"/>
    <col min="18" max="18" width="13.25390625" style="1" hidden="1" customWidth="1" outlineLevel="1"/>
    <col min="19" max="19" width="15.375" style="1" customWidth="1" collapsed="1"/>
    <col min="20" max="20" width="15.00390625" style="1" customWidth="1"/>
    <col min="21" max="21" width="15.875" style="1" hidden="1" customWidth="1" outlineLevel="1"/>
    <col min="22" max="22" width="9.125" style="1" customWidth="1" collapsed="1"/>
    <col min="23" max="16384" width="9.125" style="1" customWidth="1"/>
  </cols>
  <sheetData>
    <row r="1" spans="8:11" ht="54" customHeight="1">
      <c r="H1" s="186" t="s">
        <v>89</v>
      </c>
      <c r="I1" s="186"/>
      <c r="J1" s="186"/>
      <c r="K1" s="186"/>
    </row>
    <row r="2" ht="15.75"/>
    <row r="3" ht="15.75"/>
    <row r="4" ht="15.75"/>
    <row r="5" spans="1:11" ht="16.5">
      <c r="A5" s="185" t="s">
        <v>90</v>
      </c>
      <c r="B5" s="185"/>
      <c r="C5" s="185"/>
      <c r="D5" s="185"/>
      <c r="E5" s="185"/>
      <c r="F5" s="185"/>
      <c r="G5" s="185"/>
      <c r="H5" s="185"/>
      <c r="I5" s="185"/>
      <c r="J5" s="185"/>
      <c r="K5" s="185"/>
    </row>
    <row r="6" ht="15.75"/>
    <row r="7" ht="15.75"/>
    <row r="8" spans="1:21" s="8" customFormat="1" ht="60.75" customHeight="1">
      <c r="A8" s="187" t="s">
        <v>53</v>
      </c>
      <c r="B8" s="188" t="s">
        <v>0</v>
      </c>
      <c r="C8" s="188" t="s">
        <v>91</v>
      </c>
      <c r="D8" s="188" t="s">
        <v>92</v>
      </c>
      <c r="E8" s="188"/>
      <c r="F8" s="158"/>
      <c r="G8" s="188" t="s">
        <v>93</v>
      </c>
      <c r="H8" s="188"/>
      <c r="I8" s="158"/>
      <c r="J8" s="188" t="s">
        <v>94</v>
      </c>
      <c r="K8" s="188"/>
      <c r="L8" s="15"/>
      <c r="M8" s="188" t="s">
        <v>92</v>
      </c>
      <c r="N8" s="188"/>
      <c r="O8" s="158"/>
      <c r="P8" s="188" t="s">
        <v>93</v>
      </c>
      <c r="Q8" s="188"/>
      <c r="R8" s="158"/>
      <c r="S8" s="188" t="s">
        <v>94</v>
      </c>
      <c r="T8" s="188"/>
      <c r="U8" s="15"/>
    </row>
    <row r="9" spans="1:21" s="9" customFormat="1" ht="30" customHeight="1">
      <c r="A9" s="187"/>
      <c r="B9" s="188"/>
      <c r="C9" s="188"/>
      <c r="D9" s="158" t="s">
        <v>95</v>
      </c>
      <c r="E9" s="158" t="s">
        <v>96</v>
      </c>
      <c r="F9" s="158" t="s">
        <v>174</v>
      </c>
      <c r="G9" s="158" t="s">
        <v>95</v>
      </c>
      <c r="H9" s="158" t="s">
        <v>96</v>
      </c>
      <c r="I9" s="158" t="s">
        <v>174</v>
      </c>
      <c r="J9" s="158" t="s">
        <v>95</v>
      </c>
      <c r="K9" s="158" t="s">
        <v>96</v>
      </c>
      <c r="L9" s="158" t="s">
        <v>174</v>
      </c>
      <c r="M9" s="158" t="s">
        <v>95</v>
      </c>
      <c r="N9" s="158" t="s">
        <v>96</v>
      </c>
      <c r="O9" s="158" t="s">
        <v>174</v>
      </c>
      <c r="P9" s="158" t="s">
        <v>95</v>
      </c>
      <c r="Q9" s="158" t="s">
        <v>96</v>
      </c>
      <c r="R9" s="158" t="s">
        <v>174</v>
      </c>
      <c r="S9" s="158" t="s">
        <v>95</v>
      </c>
      <c r="T9" s="158" t="s">
        <v>96</v>
      </c>
      <c r="U9" s="75" t="s">
        <v>174</v>
      </c>
    </row>
    <row r="10" spans="1:21" s="9" customFormat="1" ht="12.75" customHeight="1">
      <c r="A10" s="157"/>
      <c r="B10" s="158"/>
      <c r="C10" s="158"/>
      <c r="D10" s="188">
        <v>2014</v>
      </c>
      <c r="E10" s="188"/>
      <c r="F10" s="158"/>
      <c r="G10" s="188">
        <v>2015</v>
      </c>
      <c r="H10" s="188"/>
      <c r="I10" s="158"/>
      <c r="J10" s="188">
        <v>2016</v>
      </c>
      <c r="K10" s="188"/>
      <c r="L10" s="13"/>
      <c r="M10" s="188" t="s">
        <v>190</v>
      </c>
      <c r="N10" s="188"/>
      <c r="O10" s="158"/>
      <c r="P10" s="188" t="s">
        <v>191</v>
      </c>
      <c r="Q10" s="188"/>
      <c r="R10" s="158"/>
      <c r="S10" s="188" t="s">
        <v>200</v>
      </c>
      <c r="T10" s="188"/>
      <c r="U10" s="77"/>
    </row>
    <row r="11" spans="1:21" s="9" customFormat="1" ht="39" customHeight="1">
      <c r="A11" s="159" t="s">
        <v>2</v>
      </c>
      <c r="B11" s="160" t="s">
        <v>97</v>
      </c>
      <c r="C11" s="159"/>
      <c r="D11" s="161"/>
      <c r="E11" s="161"/>
      <c r="F11" s="161"/>
      <c r="G11" s="161"/>
      <c r="H11" s="161"/>
      <c r="I11" s="161"/>
      <c r="J11" s="161"/>
      <c r="K11" s="161"/>
      <c r="L11" s="13"/>
      <c r="M11" s="13"/>
      <c r="N11" s="13"/>
      <c r="O11" s="13"/>
      <c r="P11" s="13"/>
      <c r="Q11" s="13"/>
      <c r="R11" s="13"/>
      <c r="S11" s="13"/>
      <c r="T11" s="13"/>
      <c r="U11" s="13"/>
    </row>
    <row r="12" spans="1:21" s="9" customFormat="1" ht="39" customHeight="1" hidden="1">
      <c r="A12" s="159" t="s">
        <v>4</v>
      </c>
      <c r="B12" s="160" t="s">
        <v>98</v>
      </c>
      <c r="C12" s="159"/>
      <c r="D12" s="161"/>
      <c r="E12" s="161"/>
      <c r="F12" s="161"/>
      <c r="G12" s="161"/>
      <c r="H12" s="161"/>
      <c r="I12" s="161"/>
      <c r="J12" s="161"/>
      <c r="K12" s="161"/>
      <c r="L12" s="13"/>
      <c r="M12" s="13"/>
      <c r="N12" s="13"/>
      <c r="O12" s="13"/>
      <c r="P12" s="13"/>
      <c r="Q12" s="13"/>
      <c r="R12" s="13"/>
      <c r="S12" s="13"/>
      <c r="T12" s="13"/>
      <c r="U12" s="13"/>
    </row>
    <row r="13" spans="1:21" s="9" customFormat="1" ht="173.25" customHeight="1" hidden="1">
      <c r="A13" s="159"/>
      <c r="B13" s="162" t="s">
        <v>194</v>
      </c>
      <c r="C13" s="159" t="s">
        <v>99</v>
      </c>
      <c r="D13" s="161"/>
      <c r="E13" s="161"/>
      <c r="F13" s="161"/>
      <c r="G13" s="161"/>
      <c r="H13" s="161"/>
      <c r="I13" s="161"/>
      <c r="J13" s="161"/>
      <c r="K13" s="161"/>
      <c r="L13" s="13"/>
      <c r="M13" s="13"/>
      <c r="N13" s="13"/>
      <c r="O13" s="13"/>
      <c r="P13" s="13"/>
      <c r="Q13" s="13"/>
      <c r="R13" s="13"/>
      <c r="S13" s="13"/>
      <c r="T13" s="13"/>
      <c r="U13" s="13"/>
    </row>
    <row r="14" spans="1:21" s="9" customFormat="1" ht="188.25" customHeight="1" hidden="1">
      <c r="A14" s="159"/>
      <c r="B14" s="162" t="s">
        <v>195</v>
      </c>
      <c r="C14" s="159" t="s">
        <v>100</v>
      </c>
      <c r="D14" s="161"/>
      <c r="E14" s="161"/>
      <c r="F14" s="161"/>
      <c r="G14" s="161"/>
      <c r="H14" s="161"/>
      <c r="I14" s="161"/>
      <c r="J14" s="161"/>
      <c r="K14" s="161"/>
      <c r="L14" s="13"/>
      <c r="M14" s="13"/>
      <c r="N14" s="13"/>
      <c r="O14" s="13"/>
      <c r="P14" s="13"/>
      <c r="Q14" s="13"/>
      <c r="R14" s="13"/>
      <c r="S14" s="13"/>
      <c r="T14" s="13"/>
      <c r="U14" s="13"/>
    </row>
    <row r="15" spans="1:21" s="9" customFormat="1" ht="39" customHeight="1">
      <c r="A15" s="159" t="s">
        <v>7</v>
      </c>
      <c r="B15" s="160" t="s">
        <v>101</v>
      </c>
      <c r="C15" s="159"/>
      <c r="D15" s="161"/>
      <c r="E15" s="161"/>
      <c r="F15" s="161"/>
      <c r="G15" s="161"/>
      <c r="H15" s="161"/>
      <c r="I15" s="161"/>
      <c r="J15" s="161"/>
      <c r="K15" s="161"/>
      <c r="L15" s="13"/>
      <c r="M15" s="13"/>
      <c r="N15" s="13"/>
      <c r="O15" s="13"/>
      <c r="P15" s="13"/>
      <c r="Q15" s="13"/>
      <c r="R15" s="13"/>
      <c r="S15" s="13"/>
      <c r="T15" s="13"/>
      <c r="U15" s="13"/>
    </row>
    <row r="16" spans="1:21" s="9" customFormat="1" ht="25.5" customHeight="1">
      <c r="A16" s="159"/>
      <c r="B16" s="160" t="s">
        <v>102</v>
      </c>
      <c r="C16" s="159"/>
      <c r="D16" s="161"/>
      <c r="E16" s="161"/>
      <c r="F16" s="161"/>
      <c r="G16" s="161"/>
      <c r="H16" s="161"/>
      <c r="I16" s="161"/>
      <c r="J16" s="161"/>
      <c r="K16" s="161"/>
      <c r="L16" s="13"/>
      <c r="M16" s="13"/>
      <c r="N16" s="13"/>
      <c r="O16" s="13"/>
      <c r="P16" s="13"/>
      <c r="Q16" s="13"/>
      <c r="R16" s="13"/>
      <c r="S16" s="13"/>
      <c r="T16" s="13"/>
      <c r="U16" s="13"/>
    </row>
    <row r="17" spans="1:21" s="9" customFormat="1" ht="25.5" customHeight="1">
      <c r="A17" s="159"/>
      <c r="B17" s="160" t="s">
        <v>103</v>
      </c>
      <c r="C17" s="159" t="s">
        <v>99</v>
      </c>
      <c r="D17" s="19">
        <f>D18/D19/6*1000</f>
        <v>402422.8538616557</v>
      </c>
      <c r="E17" s="19">
        <f>E18/E19/6*1000</f>
        <v>415984.7912723312</v>
      </c>
      <c r="F17" s="21">
        <f>F18/F19/12</f>
        <v>409.20382256699344</v>
      </c>
      <c r="G17" s="163">
        <v>405131.6</v>
      </c>
      <c r="H17" s="163">
        <v>405131.6</v>
      </c>
      <c r="I17" s="21">
        <f>I18/I19/12</f>
        <v>439.93955094991367</v>
      </c>
      <c r="J17" s="164">
        <f>H17</f>
        <v>405131.6</v>
      </c>
      <c r="K17" s="19">
        <f>K18/K19/6*1000</f>
        <v>653840.4145077722</v>
      </c>
      <c r="L17" s="19">
        <f>L18/L19/12*1000</f>
        <v>534196.8911917098</v>
      </c>
      <c r="M17" s="19">
        <f>241.11799*1000</f>
        <v>241117.99</v>
      </c>
      <c r="N17" s="19">
        <f>241.11799*1000</f>
        <v>241117.99</v>
      </c>
      <c r="O17" s="21">
        <f>O18/O19/12</f>
        <v>292.7142814917982</v>
      </c>
      <c r="P17" s="163">
        <v>848057.12</v>
      </c>
      <c r="Q17" s="163">
        <v>847894.11</v>
      </c>
      <c r="R17" s="21">
        <f>R18/R19/12</f>
        <v>425.41376488468023</v>
      </c>
      <c r="S17" s="164">
        <f>Q17</f>
        <v>847894.11</v>
      </c>
      <c r="T17" s="19">
        <v>850705.78</v>
      </c>
      <c r="U17" s="19">
        <f>U18/U19/12*1000</f>
        <v>849154.4965411223</v>
      </c>
    </row>
    <row r="18" spans="1:21" s="9" customFormat="1" ht="25.5" customHeight="1" hidden="1" outlineLevel="1">
      <c r="A18" s="159"/>
      <c r="B18" s="160" t="s">
        <v>162</v>
      </c>
      <c r="C18" s="159"/>
      <c r="D18" s="165">
        <f>D27</f>
        <v>3694.2417984499994</v>
      </c>
      <c r="E18" s="165">
        <f>E27</f>
        <v>3818.7403838800005</v>
      </c>
      <c r="F18" s="165">
        <f>E18+D18</f>
        <v>7512.98218233</v>
      </c>
      <c r="G18" s="165">
        <f>G27</f>
        <v>5298.28</v>
      </c>
      <c r="H18" s="165">
        <f>H27</f>
        <v>4890.719999999999</v>
      </c>
      <c r="I18" s="165">
        <f>H18+G18</f>
        <v>10189</v>
      </c>
      <c r="J18" s="165">
        <f>J27</f>
        <v>4800.527999999999</v>
      </c>
      <c r="K18" s="165">
        <f>K27</f>
        <v>7571.472000000001</v>
      </c>
      <c r="L18" s="20">
        <f>K18+J18</f>
        <v>12372</v>
      </c>
      <c r="M18" s="165">
        <f>M27</f>
        <v>3767.014921</v>
      </c>
      <c r="N18" s="165">
        <f>N27</f>
        <v>3420.7598896000004</v>
      </c>
      <c r="O18" s="165">
        <f>N18+M18</f>
        <v>7187.7748106</v>
      </c>
      <c r="P18" s="165">
        <f>P27</f>
        <v>5228.85195624148</v>
      </c>
      <c r="Q18" s="165">
        <f>Q27</f>
        <v>4960.14804375852</v>
      </c>
      <c r="R18" s="165">
        <f>Q18+P18</f>
        <v>10189</v>
      </c>
      <c r="S18" s="165">
        <v>13455.5</v>
      </c>
      <c r="T18" s="165">
        <v>13058.5</v>
      </c>
      <c r="U18" s="20">
        <f>T18+S18</f>
        <v>26514</v>
      </c>
    </row>
    <row r="19" spans="1:21" s="9" customFormat="1" ht="25.5" customHeight="1" hidden="1" outlineLevel="1">
      <c r="A19" s="159"/>
      <c r="B19" s="160" t="s">
        <v>163</v>
      </c>
      <c r="C19" s="159"/>
      <c r="D19" s="166">
        <f>'передача Самусь'!D19</f>
        <v>1.53</v>
      </c>
      <c r="E19" s="166">
        <f>D19</f>
        <v>1.53</v>
      </c>
      <c r="F19" s="166">
        <f>E19</f>
        <v>1.53</v>
      </c>
      <c r="G19" s="166">
        <f>'передача Самусь'!E19</f>
        <v>1.93</v>
      </c>
      <c r="H19" s="166">
        <f>G19</f>
        <v>1.93</v>
      </c>
      <c r="I19" s="166">
        <f>H19</f>
        <v>1.93</v>
      </c>
      <c r="J19" s="166">
        <f>'передача Самусь'!F19</f>
        <v>1.93</v>
      </c>
      <c r="K19" s="166">
        <f>J19</f>
        <v>1.93</v>
      </c>
      <c r="L19" s="14">
        <f>K19</f>
        <v>1.93</v>
      </c>
      <c r="M19" s="166">
        <f>'передача Самусь'!J19</f>
        <v>2.0463</v>
      </c>
      <c r="N19" s="166">
        <f>M19</f>
        <v>2.0463</v>
      </c>
      <c r="O19" s="166">
        <f>N19</f>
        <v>2.0463</v>
      </c>
      <c r="P19" s="166">
        <f>'передача Самусь'!K19</f>
        <v>1.9959</v>
      </c>
      <c r="Q19" s="166">
        <f>P19</f>
        <v>1.9959</v>
      </c>
      <c r="R19" s="166">
        <f>Q19</f>
        <v>1.9959</v>
      </c>
      <c r="S19" s="179">
        <v>2.64</v>
      </c>
      <c r="T19" s="179">
        <v>2.56</v>
      </c>
      <c r="U19" s="14">
        <v>2.602</v>
      </c>
    </row>
    <row r="20" spans="1:21" s="9" customFormat="1" ht="38.25" customHeight="1" collapsed="1">
      <c r="A20" s="159"/>
      <c r="B20" s="160" t="s">
        <v>104</v>
      </c>
      <c r="C20" s="159" t="s">
        <v>100</v>
      </c>
      <c r="D20" s="14">
        <f>D21/D23*1000</f>
        <v>345.571117934599</v>
      </c>
      <c r="E20" s="14">
        <f>E21/E23*1000</f>
        <v>335.4564725964312</v>
      </c>
      <c r="F20" s="14">
        <f>F21/F23</f>
        <v>0.34097336806915496</v>
      </c>
      <c r="G20" s="168">
        <v>101.3</v>
      </c>
      <c r="H20" s="168">
        <v>101.3</v>
      </c>
      <c r="I20" s="166"/>
      <c r="J20" s="166">
        <f>H20</f>
        <v>101.3</v>
      </c>
      <c r="K20" s="168">
        <f>J20*1.05</f>
        <v>106.365</v>
      </c>
      <c r="L20" s="13"/>
      <c r="M20" s="14">
        <f>M21/M23*1000</f>
        <v>248.04696736176876</v>
      </c>
      <c r="N20" s="14">
        <f>N21/N23*1000</f>
        <v>281.84661694165584</v>
      </c>
      <c r="O20" s="14"/>
      <c r="P20" s="169">
        <v>313.39</v>
      </c>
      <c r="Q20" s="169">
        <v>307.83</v>
      </c>
      <c r="R20" s="166"/>
      <c r="S20" s="167">
        <f>Q20</f>
        <v>307.83</v>
      </c>
      <c r="T20" s="170">
        <v>308.851</v>
      </c>
      <c r="U20" s="13"/>
    </row>
    <row r="21" spans="1:21" s="9" customFormat="1" ht="38.25" customHeight="1" hidden="1" outlineLevel="1">
      <c r="A21" s="159"/>
      <c r="B21" s="160" t="s">
        <v>162</v>
      </c>
      <c r="C21" s="159"/>
      <c r="D21" s="171">
        <f>3412.52895802</f>
        <v>3412.52895802</v>
      </c>
      <c r="E21" s="171">
        <v>2760.74102</v>
      </c>
      <c r="F21" s="172">
        <f>E21+D21</f>
        <v>6173.26997802</v>
      </c>
      <c r="G21" s="172">
        <f>G23*G20</f>
        <v>948168</v>
      </c>
      <c r="H21" s="172">
        <f>H23*H20</f>
        <v>875232</v>
      </c>
      <c r="I21" s="172">
        <f>H21+G21</f>
        <v>1823400</v>
      </c>
      <c r="J21" s="172">
        <f>J23*J20</f>
        <v>859024</v>
      </c>
      <c r="K21" s="172">
        <f>K23*K20</f>
        <v>832837.95</v>
      </c>
      <c r="L21" s="172">
        <f>K21+J21</f>
        <v>1691861.95</v>
      </c>
      <c r="M21" s="171">
        <v>2003.711</v>
      </c>
      <c r="N21" s="171">
        <v>2202.248</v>
      </c>
      <c r="O21" s="172">
        <f>N21+M21</f>
        <v>4205.959</v>
      </c>
      <c r="P21" s="172">
        <f>P23*P20/1000</f>
        <v>2488.661329</v>
      </c>
      <c r="Q21" s="172">
        <f>Q23*Q20/1000</f>
        <v>2326.856187</v>
      </c>
      <c r="R21" s="172">
        <f>Q21+P21</f>
        <v>4815.517516</v>
      </c>
      <c r="S21" s="172">
        <f>(S23-S22)*S20/1000</f>
        <v>2143.3279409999996</v>
      </c>
      <c r="T21" s="172">
        <f>(T23-T22)*T20/1000</f>
        <v>2080.09604245</v>
      </c>
      <c r="U21" s="172">
        <f>T21+S21</f>
        <v>4223.4239834499995</v>
      </c>
    </row>
    <row r="22" spans="1:21" s="9" customFormat="1" ht="38.25" customHeight="1" hidden="1" outlineLevel="1">
      <c r="A22" s="159"/>
      <c r="B22" s="173" t="s">
        <v>183</v>
      </c>
      <c r="C22" s="159"/>
      <c r="D22" s="171"/>
      <c r="E22" s="171"/>
      <c r="F22" s="172"/>
      <c r="G22" s="172"/>
      <c r="H22" s="172"/>
      <c r="I22" s="172"/>
      <c r="J22" s="172"/>
      <c r="K22" s="172"/>
      <c r="L22" s="172"/>
      <c r="M22" s="174">
        <v>1160.085</v>
      </c>
      <c r="N22" s="174">
        <v>1284.962</v>
      </c>
      <c r="O22" s="175">
        <f>N22+M22</f>
        <v>2445.047</v>
      </c>
      <c r="P22" s="172"/>
      <c r="Q22" s="172"/>
      <c r="R22" s="172"/>
      <c r="S22" s="172">
        <v>1170.3</v>
      </c>
      <c r="T22" s="172">
        <v>1132.05</v>
      </c>
      <c r="U22" s="172">
        <f>T22+S22</f>
        <v>2302.35</v>
      </c>
    </row>
    <row r="23" spans="1:21" s="9" customFormat="1" ht="38.25" customHeight="1" hidden="1" outlineLevel="1">
      <c r="A23" s="159"/>
      <c r="B23" s="160" t="s">
        <v>163</v>
      </c>
      <c r="C23" s="159"/>
      <c r="D23" s="16">
        <f>D28</f>
        <v>9875.041</v>
      </c>
      <c r="E23" s="16">
        <f>E28</f>
        <v>8229.804</v>
      </c>
      <c r="F23" s="172">
        <f>E23+D23</f>
        <v>18104.845</v>
      </c>
      <c r="G23" s="16">
        <f>G28</f>
        <v>9360</v>
      </c>
      <c r="H23" s="16">
        <f>H28</f>
        <v>8640</v>
      </c>
      <c r="I23" s="172">
        <f>H23+G23</f>
        <v>18000</v>
      </c>
      <c r="J23" s="16">
        <f>J28</f>
        <v>8480</v>
      </c>
      <c r="K23" s="16">
        <f>K28</f>
        <v>7830</v>
      </c>
      <c r="L23" s="172">
        <f>K23+J23</f>
        <v>16310</v>
      </c>
      <c r="M23" s="16">
        <f>M28</f>
        <v>8077.95</v>
      </c>
      <c r="N23" s="16">
        <f>N28</f>
        <v>7813.64</v>
      </c>
      <c r="O23" s="172">
        <f>N23+M23</f>
        <v>15891.59</v>
      </c>
      <c r="P23" s="16">
        <f>P28</f>
        <v>7941.1</v>
      </c>
      <c r="Q23" s="16">
        <f>Q28</f>
        <v>7558.9</v>
      </c>
      <c r="R23" s="172">
        <f>Q23+P23</f>
        <v>15500</v>
      </c>
      <c r="S23" s="16">
        <f>S28</f>
        <v>8133</v>
      </c>
      <c r="T23" s="16">
        <f>T28</f>
        <v>7867</v>
      </c>
      <c r="U23" s="172">
        <f>T23+S23</f>
        <v>16000</v>
      </c>
    </row>
    <row r="24" spans="1:21" s="9" customFormat="1" ht="25.5" customHeight="1" collapsed="1">
      <c r="A24" s="159"/>
      <c r="B24" s="160" t="s">
        <v>105</v>
      </c>
      <c r="C24" s="159" t="s">
        <v>100</v>
      </c>
      <c r="D24" s="22">
        <v>719.67</v>
      </c>
      <c r="E24" s="22">
        <v>799.47</v>
      </c>
      <c r="F24" s="176">
        <f>F25/F28*1000</f>
        <v>755.9441773928469</v>
      </c>
      <c r="G24" s="22">
        <v>667.4</v>
      </c>
      <c r="H24" s="22">
        <v>667.4</v>
      </c>
      <c r="I24" s="176">
        <f>I25/I28*1000</f>
        <v>667.4</v>
      </c>
      <c r="J24" s="176">
        <f>H24</f>
        <v>667.4</v>
      </c>
      <c r="K24" s="177">
        <v>1073.3473754789272</v>
      </c>
      <c r="L24" s="16">
        <f>L25/L28*1000</f>
        <v>862.2846076026977</v>
      </c>
      <c r="M24" s="22">
        <v>714.38</v>
      </c>
      <c r="N24" s="22">
        <v>719.64</v>
      </c>
      <c r="O24" s="176">
        <f>O25/O28*1000</f>
        <v>716.9662576620716</v>
      </c>
      <c r="P24" s="22">
        <v>1623.76</v>
      </c>
      <c r="Q24" s="22">
        <v>1618.2</v>
      </c>
      <c r="R24" s="176">
        <f>R25/R28*1000</f>
        <v>1621.048549419355</v>
      </c>
      <c r="S24" s="176">
        <f>Q24</f>
        <v>1618.2</v>
      </c>
      <c r="T24" s="177">
        <v>1623.57</v>
      </c>
      <c r="U24" s="16">
        <f>U25/U28*1000</f>
        <v>1387.60649446875</v>
      </c>
    </row>
    <row r="25" spans="1:21" s="9" customFormat="1" ht="25.5" customHeight="1" hidden="1" outlineLevel="1">
      <c r="A25" s="159"/>
      <c r="B25" s="160" t="s">
        <v>162</v>
      </c>
      <c r="C25" s="159"/>
      <c r="D25" s="172">
        <f>D28*D24/1000</f>
        <v>7106.7707564699995</v>
      </c>
      <c r="E25" s="172">
        <f>E28*E24/1000</f>
        <v>6579.4814038800005</v>
      </c>
      <c r="F25" s="172">
        <f>E25+D25</f>
        <v>13686.252160349999</v>
      </c>
      <c r="G25" s="172">
        <f>G24*G28/1000</f>
        <v>6246.864</v>
      </c>
      <c r="H25" s="172">
        <f>H24*H28/1000</f>
        <v>5766.336</v>
      </c>
      <c r="I25" s="172">
        <f>H25+G25</f>
        <v>12013.2</v>
      </c>
      <c r="J25" s="172">
        <f>J24*J28/1000</f>
        <v>5659.552</v>
      </c>
      <c r="K25" s="172">
        <f>K24*K28/1000</f>
        <v>8404.30995</v>
      </c>
      <c r="L25" s="172">
        <f>K25+J25</f>
        <v>14063.86195</v>
      </c>
      <c r="M25" s="172">
        <f>M28*M24/1000</f>
        <v>5770.725921</v>
      </c>
      <c r="N25" s="172">
        <f>N28*N24/1000</f>
        <v>5623.0078896</v>
      </c>
      <c r="O25" s="172">
        <f>N25+M25</f>
        <v>11393.7338106</v>
      </c>
      <c r="P25" s="172">
        <f>P24*P28/1000</f>
        <v>12894.440536</v>
      </c>
      <c r="Q25" s="172">
        <f>Q24*Q28/1000</f>
        <v>12231.81198</v>
      </c>
      <c r="R25" s="172">
        <f>Q25+P25</f>
        <v>25126.252516</v>
      </c>
      <c r="S25" s="176">
        <f>S24*(S28-S22)/1000</f>
        <v>11267.041140000001</v>
      </c>
      <c r="T25" s="176">
        <f>T24*(T28-T22)/1000</f>
        <v>10934.6627715</v>
      </c>
      <c r="U25" s="172">
        <f>T25+S25</f>
        <v>22201.7039115</v>
      </c>
    </row>
    <row r="26" spans="1:21" s="9" customFormat="1" ht="25.5" customHeight="1" hidden="1" outlineLevel="1">
      <c r="A26" s="159"/>
      <c r="B26" s="160" t="s">
        <v>178</v>
      </c>
      <c r="C26" s="159"/>
      <c r="D26" s="172">
        <f>D21</f>
        <v>3412.52895802</v>
      </c>
      <c r="E26" s="172">
        <f>E21</f>
        <v>2760.74102</v>
      </c>
      <c r="F26" s="172">
        <f>E26+D26</f>
        <v>6173.26997802</v>
      </c>
      <c r="G26" s="172">
        <f>G25/I25*I26</f>
        <v>948.5840000000002</v>
      </c>
      <c r="H26" s="172">
        <f>I26-G26</f>
        <v>875.6160000000006</v>
      </c>
      <c r="I26" s="171">
        <f>I25-10189</f>
        <v>1824.2000000000007</v>
      </c>
      <c r="J26" s="172">
        <f>J21/1000</f>
        <v>859.024</v>
      </c>
      <c r="K26" s="172">
        <f>K21/1000</f>
        <v>832.83795</v>
      </c>
      <c r="L26" s="172">
        <f>K26+J26</f>
        <v>1691.86195</v>
      </c>
      <c r="M26" s="172">
        <f>M21</f>
        <v>2003.711</v>
      </c>
      <c r="N26" s="172">
        <f>N21</f>
        <v>2202.248</v>
      </c>
      <c r="O26" s="172">
        <f>N26+M26</f>
        <v>4205.959</v>
      </c>
      <c r="P26" s="172">
        <f>P25/R25*R26</f>
        <v>7665.58857975852</v>
      </c>
      <c r="Q26" s="172">
        <f>R26-P26</f>
        <v>7271.663936241481</v>
      </c>
      <c r="R26" s="171">
        <f>R25-10189</f>
        <v>14937.252516</v>
      </c>
      <c r="S26" s="172">
        <f>S21</f>
        <v>2143.3279409999996</v>
      </c>
      <c r="T26" s="172">
        <f>T21</f>
        <v>2080.09604245</v>
      </c>
      <c r="U26" s="172">
        <f>T26+S26</f>
        <v>4223.4239834499995</v>
      </c>
    </row>
    <row r="27" spans="1:21" s="9" customFormat="1" ht="25.5" customHeight="1" hidden="1" outlineLevel="1">
      <c r="A27" s="159"/>
      <c r="B27" s="160" t="s">
        <v>179</v>
      </c>
      <c r="C27" s="159"/>
      <c r="D27" s="172">
        <f>D25-D26</f>
        <v>3694.2417984499994</v>
      </c>
      <c r="E27" s="172">
        <f>E25-E26</f>
        <v>3818.7403838800005</v>
      </c>
      <c r="F27" s="172">
        <f>E27+D27</f>
        <v>7512.98218233</v>
      </c>
      <c r="G27" s="172">
        <f aca="true" t="shared" si="0" ref="G27:O27">G25-G26</f>
        <v>5298.28</v>
      </c>
      <c r="H27" s="172">
        <f t="shared" si="0"/>
        <v>4890.719999999999</v>
      </c>
      <c r="I27" s="172">
        <f t="shared" si="0"/>
        <v>10189</v>
      </c>
      <c r="J27" s="172">
        <f t="shared" si="0"/>
        <v>4800.527999999999</v>
      </c>
      <c r="K27" s="172">
        <f t="shared" si="0"/>
        <v>7571.472000000001</v>
      </c>
      <c r="L27" s="17">
        <f t="shared" si="0"/>
        <v>12372</v>
      </c>
      <c r="M27" s="172">
        <f t="shared" si="0"/>
        <v>3767.014921</v>
      </c>
      <c r="N27" s="172">
        <f t="shared" si="0"/>
        <v>3420.7598896000004</v>
      </c>
      <c r="O27" s="17">
        <f t="shared" si="0"/>
        <v>7187.774810600001</v>
      </c>
      <c r="P27" s="172">
        <f aca="true" t="shared" si="1" ref="P27:U27">P25-P26</f>
        <v>5228.85195624148</v>
      </c>
      <c r="Q27" s="172">
        <f t="shared" si="1"/>
        <v>4960.14804375852</v>
      </c>
      <c r="R27" s="172">
        <f t="shared" si="1"/>
        <v>10189</v>
      </c>
      <c r="S27" s="172">
        <f t="shared" si="1"/>
        <v>9123.713199000002</v>
      </c>
      <c r="T27" s="172">
        <f t="shared" si="1"/>
        <v>8854.566729049999</v>
      </c>
      <c r="U27" s="17">
        <f t="shared" si="1"/>
        <v>17978.27992805</v>
      </c>
    </row>
    <row r="28" spans="1:22" s="9" customFormat="1" ht="25.5" customHeight="1" hidden="1" outlineLevel="1">
      <c r="A28" s="159"/>
      <c r="B28" s="160" t="s">
        <v>163</v>
      </c>
      <c r="C28" s="159"/>
      <c r="D28" s="171">
        <v>9875.041</v>
      </c>
      <c r="E28" s="171">
        <v>8229.804</v>
      </c>
      <c r="F28" s="172">
        <f>E28+D28</f>
        <v>18104.845</v>
      </c>
      <c r="G28" s="171">
        <v>9360</v>
      </c>
      <c r="H28" s="172">
        <f>I28-G28</f>
        <v>8640</v>
      </c>
      <c r="I28" s="171">
        <v>18000</v>
      </c>
      <c r="J28" s="171">
        <v>8480</v>
      </c>
      <c r="K28" s="178">
        <f>L28-J28</f>
        <v>7830</v>
      </c>
      <c r="L28" s="18">
        <v>16310</v>
      </c>
      <c r="M28" s="171">
        <v>8077.95</v>
      </c>
      <c r="N28" s="171">
        <v>7813.64</v>
      </c>
      <c r="O28" s="172">
        <f>N28+M28</f>
        <v>15891.59</v>
      </c>
      <c r="P28" s="171">
        <v>7941.1</v>
      </c>
      <c r="Q28" s="172">
        <f>R28-P28</f>
        <v>7558.9</v>
      </c>
      <c r="R28" s="171">
        <v>15500</v>
      </c>
      <c r="S28" s="171">
        <v>8133</v>
      </c>
      <c r="T28" s="178">
        <f>U28-S28</f>
        <v>7867</v>
      </c>
      <c r="U28" s="18">
        <v>16000</v>
      </c>
      <c r="V28" s="9" t="s">
        <v>203</v>
      </c>
    </row>
    <row r="29" spans="1:12" s="9" customFormat="1" ht="40.5" customHeight="1" hidden="1" outlineLevel="1" collapsed="1">
      <c r="A29" s="159" t="s">
        <v>13</v>
      </c>
      <c r="B29" s="160" t="s">
        <v>106</v>
      </c>
      <c r="C29" s="159" t="s">
        <v>100</v>
      </c>
      <c r="D29" s="161"/>
      <c r="E29" s="161"/>
      <c r="F29" s="161"/>
      <c r="G29" s="161"/>
      <c r="H29" s="161"/>
      <c r="I29" s="161"/>
      <c r="J29" s="161"/>
      <c r="K29" s="161"/>
      <c r="L29" s="13"/>
    </row>
    <row r="30" spans="1:12" s="9" customFormat="1" ht="25.5" customHeight="1" hidden="1" outlineLevel="1">
      <c r="A30" s="159" t="s">
        <v>17</v>
      </c>
      <c r="B30" s="160" t="s">
        <v>107</v>
      </c>
      <c r="C30" s="159"/>
      <c r="D30" s="161"/>
      <c r="E30" s="161"/>
      <c r="F30" s="161"/>
      <c r="G30" s="161"/>
      <c r="H30" s="161"/>
      <c r="I30" s="161"/>
      <c r="J30" s="161"/>
      <c r="K30" s="161"/>
      <c r="L30" s="13"/>
    </row>
    <row r="31" spans="1:12" s="9" customFormat="1" ht="54" customHeight="1" hidden="1" outlineLevel="1">
      <c r="A31" s="159" t="s">
        <v>18</v>
      </c>
      <c r="B31" s="160" t="s">
        <v>108</v>
      </c>
      <c r="C31" s="159" t="s">
        <v>100</v>
      </c>
      <c r="D31" s="161"/>
      <c r="E31" s="161"/>
      <c r="F31" s="161"/>
      <c r="G31" s="161"/>
      <c r="H31" s="161"/>
      <c r="I31" s="161"/>
      <c r="J31" s="161"/>
      <c r="K31" s="161"/>
      <c r="L31" s="13"/>
    </row>
    <row r="32" spans="1:12" s="9" customFormat="1" ht="66.75" customHeight="1" hidden="1" outlineLevel="1">
      <c r="A32" s="159" t="s">
        <v>20</v>
      </c>
      <c r="B32" s="160" t="s">
        <v>109</v>
      </c>
      <c r="C32" s="159" t="s">
        <v>100</v>
      </c>
      <c r="D32" s="161"/>
      <c r="E32" s="161"/>
      <c r="F32" s="161"/>
      <c r="G32" s="161"/>
      <c r="H32" s="161"/>
      <c r="I32" s="161"/>
      <c r="J32" s="161"/>
      <c r="K32" s="161"/>
      <c r="L32" s="13"/>
    </row>
    <row r="33" spans="1:12" s="9" customFormat="1" ht="27" customHeight="1" hidden="1" outlineLevel="1">
      <c r="A33" s="159" t="s">
        <v>22</v>
      </c>
      <c r="B33" s="160" t="s">
        <v>110</v>
      </c>
      <c r="C33" s="159" t="s">
        <v>16</v>
      </c>
      <c r="D33" s="161"/>
      <c r="E33" s="161"/>
      <c r="F33" s="161"/>
      <c r="G33" s="161"/>
      <c r="H33" s="161"/>
      <c r="I33" s="161"/>
      <c r="J33" s="161"/>
      <c r="K33" s="161"/>
      <c r="L33" s="13"/>
    </row>
    <row r="34" spans="1:12" s="9" customFormat="1" ht="27" customHeight="1" hidden="1" outlineLevel="1">
      <c r="A34" s="159"/>
      <c r="B34" s="160" t="s">
        <v>111</v>
      </c>
      <c r="C34" s="159" t="s">
        <v>16</v>
      </c>
      <c r="D34" s="161"/>
      <c r="E34" s="161"/>
      <c r="F34" s="161"/>
      <c r="G34" s="161"/>
      <c r="H34" s="161"/>
      <c r="I34" s="161"/>
      <c r="J34" s="161"/>
      <c r="K34" s="161"/>
      <c r="L34" s="13"/>
    </row>
    <row r="35" spans="1:12" s="9" customFormat="1" ht="27" customHeight="1" hidden="1" outlineLevel="1">
      <c r="A35" s="159"/>
      <c r="B35" s="160" t="s">
        <v>112</v>
      </c>
      <c r="C35" s="159" t="s">
        <v>16</v>
      </c>
      <c r="D35" s="161"/>
      <c r="E35" s="161"/>
      <c r="F35" s="161"/>
      <c r="G35" s="161"/>
      <c r="H35" s="161"/>
      <c r="I35" s="161"/>
      <c r="J35" s="161"/>
      <c r="K35" s="161"/>
      <c r="L35" s="13"/>
    </row>
    <row r="36" spans="1:12" s="9" customFormat="1" ht="27" customHeight="1" hidden="1" outlineLevel="1">
      <c r="A36" s="159"/>
      <c r="B36" s="160" t="s">
        <v>113</v>
      </c>
      <c r="C36" s="159" t="s">
        <v>16</v>
      </c>
      <c r="D36" s="161"/>
      <c r="E36" s="161"/>
      <c r="F36" s="161"/>
      <c r="G36" s="161"/>
      <c r="H36" s="161"/>
      <c r="I36" s="161"/>
      <c r="J36" s="161"/>
      <c r="K36" s="161"/>
      <c r="L36" s="13"/>
    </row>
    <row r="37" spans="1:12" s="9" customFormat="1" ht="27" customHeight="1" hidden="1" outlineLevel="1">
      <c r="A37" s="159"/>
      <c r="B37" s="160" t="s">
        <v>114</v>
      </c>
      <c r="C37" s="159" t="s">
        <v>16</v>
      </c>
      <c r="D37" s="161"/>
      <c r="E37" s="161"/>
      <c r="F37" s="161"/>
      <c r="G37" s="161"/>
      <c r="H37" s="161"/>
      <c r="I37" s="161"/>
      <c r="J37" s="161"/>
      <c r="K37" s="161"/>
      <c r="L37" s="13"/>
    </row>
    <row r="38" spans="1:12" s="9" customFormat="1" ht="27" customHeight="1" hidden="1" outlineLevel="1">
      <c r="A38" s="159" t="s">
        <v>28</v>
      </c>
      <c r="B38" s="160" t="s">
        <v>115</v>
      </c>
      <c r="C38" s="159" t="s">
        <v>16</v>
      </c>
      <c r="D38" s="161"/>
      <c r="E38" s="161"/>
      <c r="F38" s="161"/>
      <c r="G38" s="161"/>
      <c r="H38" s="161"/>
      <c r="I38" s="161"/>
      <c r="J38" s="161"/>
      <c r="K38" s="161"/>
      <c r="L38" s="13"/>
    </row>
    <row r="39" spans="1:12" s="9" customFormat="1" ht="27" customHeight="1" hidden="1" outlineLevel="1">
      <c r="A39" s="159" t="s">
        <v>30</v>
      </c>
      <c r="B39" s="160" t="s">
        <v>116</v>
      </c>
      <c r="C39" s="159" t="s">
        <v>117</v>
      </c>
      <c r="D39" s="161"/>
      <c r="E39" s="161"/>
      <c r="F39" s="161"/>
      <c r="G39" s="161"/>
      <c r="H39" s="161"/>
      <c r="I39" s="161"/>
      <c r="J39" s="161"/>
      <c r="K39" s="161"/>
      <c r="L39" s="13"/>
    </row>
    <row r="40" spans="1:12" s="9" customFormat="1" ht="27" customHeight="1" hidden="1" outlineLevel="1">
      <c r="A40" s="159"/>
      <c r="B40" s="160" t="s">
        <v>118</v>
      </c>
      <c r="C40" s="159" t="s">
        <v>117</v>
      </c>
      <c r="D40" s="161"/>
      <c r="E40" s="161"/>
      <c r="F40" s="161"/>
      <c r="G40" s="161"/>
      <c r="H40" s="161"/>
      <c r="I40" s="161"/>
      <c r="J40" s="161"/>
      <c r="K40" s="161"/>
      <c r="L40" s="13"/>
    </row>
    <row r="41" spans="1:12" s="9" customFormat="1" ht="27" customHeight="1" hidden="1" outlineLevel="1">
      <c r="A41" s="159" t="s">
        <v>34</v>
      </c>
      <c r="B41" s="160" t="s">
        <v>119</v>
      </c>
      <c r="C41" s="159" t="s">
        <v>99</v>
      </c>
      <c r="D41" s="161"/>
      <c r="E41" s="161"/>
      <c r="F41" s="161"/>
      <c r="G41" s="161"/>
      <c r="H41" s="161"/>
      <c r="I41" s="161"/>
      <c r="J41" s="161"/>
      <c r="K41" s="161"/>
      <c r="L41" s="13"/>
    </row>
    <row r="42" spans="1:12" s="9" customFormat="1" ht="40.5" customHeight="1" hidden="1" outlineLevel="1">
      <c r="A42" s="159" t="s">
        <v>35</v>
      </c>
      <c r="B42" s="160" t="s">
        <v>120</v>
      </c>
      <c r="C42" s="159" t="s">
        <v>121</v>
      </c>
      <c r="D42" s="161"/>
      <c r="E42" s="161"/>
      <c r="F42" s="161"/>
      <c r="G42" s="161"/>
      <c r="H42" s="161"/>
      <c r="I42" s="161"/>
      <c r="J42" s="161"/>
      <c r="K42" s="161"/>
      <c r="L42" s="13"/>
    </row>
    <row r="43" spans="1:12" s="9" customFormat="1" ht="27" customHeight="1" hidden="1" outlineLevel="1">
      <c r="A43" s="159" t="s">
        <v>122</v>
      </c>
      <c r="B43" s="160" t="s">
        <v>123</v>
      </c>
      <c r="C43" s="159" t="s">
        <v>121</v>
      </c>
      <c r="D43" s="161"/>
      <c r="E43" s="161"/>
      <c r="F43" s="161"/>
      <c r="G43" s="161"/>
      <c r="H43" s="161"/>
      <c r="I43" s="161"/>
      <c r="J43" s="161"/>
      <c r="K43" s="161"/>
      <c r="L43" s="13"/>
    </row>
    <row r="44" spans="1:12" s="9" customFormat="1" ht="27" customHeight="1" hidden="1" outlineLevel="1">
      <c r="A44" s="159" t="s">
        <v>124</v>
      </c>
      <c r="B44" s="160" t="s">
        <v>125</v>
      </c>
      <c r="C44" s="159" t="s">
        <v>121</v>
      </c>
      <c r="D44" s="161"/>
      <c r="E44" s="161"/>
      <c r="F44" s="161"/>
      <c r="G44" s="161"/>
      <c r="H44" s="161"/>
      <c r="I44" s="161"/>
      <c r="J44" s="161"/>
      <c r="K44" s="161"/>
      <c r="L44" s="13"/>
    </row>
    <row r="45" spans="1:12" s="9" customFormat="1" ht="27" customHeight="1" hidden="1" outlineLevel="1">
      <c r="A45" s="159"/>
      <c r="B45" s="160" t="s">
        <v>208</v>
      </c>
      <c r="C45" s="159" t="s">
        <v>121</v>
      </c>
      <c r="D45" s="161"/>
      <c r="E45" s="161"/>
      <c r="F45" s="161"/>
      <c r="G45" s="161"/>
      <c r="H45" s="161"/>
      <c r="I45" s="161"/>
      <c r="J45" s="161"/>
      <c r="K45" s="161"/>
      <c r="L45" s="13"/>
    </row>
    <row r="46" spans="1:12" s="9" customFormat="1" ht="27" customHeight="1" hidden="1" outlineLevel="1">
      <c r="A46" s="159"/>
      <c r="B46" s="160" t="s">
        <v>209</v>
      </c>
      <c r="C46" s="159" t="s">
        <v>121</v>
      </c>
      <c r="D46" s="161"/>
      <c r="E46" s="161"/>
      <c r="F46" s="161"/>
      <c r="G46" s="161"/>
      <c r="H46" s="161"/>
      <c r="I46" s="161"/>
      <c r="J46" s="161"/>
      <c r="K46" s="161"/>
      <c r="L46" s="13"/>
    </row>
    <row r="47" spans="1:12" s="9" customFormat="1" ht="27" customHeight="1" hidden="1" outlineLevel="1">
      <c r="A47" s="159"/>
      <c r="B47" s="160" t="s">
        <v>210</v>
      </c>
      <c r="C47" s="159" t="s">
        <v>121</v>
      </c>
      <c r="D47" s="161"/>
      <c r="E47" s="161"/>
      <c r="F47" s="161"/>
      <c r="G47" s="161"/>
      <c r="H47" s="161"/>
      <c r="I47" s="161"/>
      <c r="J47" s="161"/>
      <c r="K47" s="161"/>
      <c r="L47" s="13"/>
    </row>
    <row r="48" spans="1:12" s="9" customFormat="1" ht="27" customHeight="1" hidden="1" outlineLevel="1">
      <c r="A48" s="159"/>
      <c r="B48" s="160" t="s">
        <v>211</v>
      </c>
      <c r="C48" s="159" t="s">
        <v>121</v>
      </c>
      <c r="D48" s="161"/>
      <c r="E48" s="161"/>
      <c r="F48" s="161"/>
      <c r="G48" s="161"/>
      <c r="H48" s="161"/>
      <c r="I48" s="161"/>
      <c r="J48" s="161"/>
      <c r="K48" s="161"/>
      <c r="L48" s="13"/>
    </row>
    <row r="49" spans="1:12" s="9" customFormat="1" ht="27" customHeight="1" hidden="1" outlineLevel="1">
      <c r="A49" s="159" t="s">
        <v>126</v>
      </c>
      <c r="B49" s="160" t="s">
        <v>127</v>
      </c>
      <c r="C49" s="159" t="s">
        <v>121</v>
      </c>
      <c r="D49" s="161"/>
      <c r="E49" s="161"/>
      <c r="F49" s="161"/>
      <c r="G49" s="161"/>
      <c r="H49" s="161"/>
      <c r="I49" s="161"/>
      <c r="J49" s="161"/>
      <c r="K49" s="161"/>
      <c r="L49" s="13"/>
    </row>
    <row r="50" spans="1:12" s="9" customFormat="1" ht="27" customHeight="1" hidden="1" outlineLevel="1">
      <c r="A50" s="159" t="s">
        <v>36</v>
      </c>
      <c r="B50" s="160" t="s">
        <v>128</v>
      </c>
      <c r="C50" s="159"/>
      <c r="D50" s="161"/>
      <c r="E50" s="161"/>
      <c r="F50" s="161"/>
      <c r="G50" s="161"/>
      <c r="H50" s="161"/>
      <c r="I50" s="161"/>
      <c r="J50" s="161"/>
      <c r="K50" s="161"/>
      <c r="L50" s="13"/>
    </row>
    <row r="51" spans="1:12" s="9" customFormat="1" ht="27" customHeight="1" hidden="1" outlineLevel="1">
      <c r="A51" s="159" t="s">
        <v>37</v>
      </c>
      <c r="B51" s="160" t="s">
        <v>129</v>
      </c>
      <c r="C51" s="159" t="s">
        <v>130</v>
      </c>
      <c r="D51" s="161"/>
      <c r="E51" s="161"/>
      <c r="F51" s="161"/>
      <c r="G51" s="161"/>
      <c r="H51" s="161"/>
      <c r="I51" s="161"/>
      <c r="J51" s="161"/>
      <c r="K51" s="161"/>
      <c r="L51" s="13"/>
    </row>
    <row r="52" spans="1:12" s="9" customFormat="1" ht="27" customHeight="1" hidden="1" outlineLevel="1">
      <c r="A52" s="159" t="s">
        <v>131</v>
      </c>
      <c r="B52" s="160" t="s">
        <v>132</v>
      </c>
      <c r="C52" s="159" t="s">
        <v>121</v>
      </c>
      <c r="D52" s="161"/>
      <c r="E52" s="161"/>
      <c r="F52" s="161"/>
      <c r="G52" s="161"/>
      <c r="H52" s="161"/>
      <c r="I52" s="161"/>
      <c r="J52" s="161"/>
      <c r="K52" s="161"/>
      <c r="L52" s="13"/>
    </row>
    <row r="53" spans="1:12" s="9" customFormat="1" ht="27" customHeight="1" hidden="1" outlineLevel="1">
      <c r="A53" s="159" t="s">
        <v>133</v>
      </c>
      <c r="B53" s="160" t="s">
        <v>134</v>
      </c>
      <c r="C53" s="159" t="s">
        <v>135</v>
      </c>
      <c r="D53" s="161"/>
      <c r="E53" s="161"/>
      <c r="F53" s="161"/>
      <c r="G53" s="161"/>
      <c r="H53" s="161"/>
      <c r="I53" s="161"/>
      <c r="J53" s="161"/>
      <c r="K53" s="161"/>
      <c r="L53" s="13"/>
    </row>
    <row r="54" spans="1:12" s="9" customFormat="1" ht="27" customHeight="1" hidden="1" outlineLevel="1">
      <c r="A54" s="159"/>
      <c r="B54" s="160" t="s">
        <v>136</v>
      </c>
      <c r="C54" s="159" t="s">
        <v>135</v>
      </c>
      <c r="D54" s="161"/>
      <c r="E54" s="161"/>
      <c r="F54" s="161"/>
      <c r="G54" s="161"/>
      <c r="H54" s="161"/>
      <c r="I54" s="161"/>
      <c r="J54" s="161"/>
      <c r="K54" s="161"/>
      <c r="L54" s="13"/>
    </row>
    <row r="55" spans="1:12" s="9" customFormat="1" ht="27" customHeight="1" hidden="1" outlineLevel="1">
      <c r="A55" s="159"/>
      <c r="B55" s="160" t="s">
        <v>137</v>
      </c>
      <c r="C55" s="159" t="s">
        <v>135</v>
      </c>
      <c r="D55" s="161"/>
      <c r="E55" s="161"/>
      <c r="F55" s="161"/>
      <c r="G55" s="161"/>
      <c r="H55" s="161"/>
      <c r="I55" s="161"/>
      <c r="J55" s="161"/>
      <c r="K55" s="161"/>
      <c r="L55" s="13"/>
    </row>
    <row r="56" s="3" customFormat="1" ht="17.25" customHeight="1" collapsed="1">
      <c r="A56" s="3" t="s">
        <v>212</v>
      </c>
    </row>
    <row r="76" ht="15.75"/>
    <row r="77" ht="15.75"/>
    <row r="79" ht="15.75"/>
    <row r="80" ht="15.75"/>
    <row r="82" ht="15.75"/>
    <row r="96" ht="15.75"/>
    <row r="97" ht="15.75"/>
    <row r="98" ht="15.75"/>
  </sheetData>
  <sheetProtection password="A51B" sheet="1" objects="1" scenarios="1" selectLockedCells="1" selectUnlockedCells="1"/>
  <mergeCells count="17">
    <mergeCell ref="M8:N8"/>
    <mergeCell ref="P8:Q8"/>
    <mergeCell ref="S8:T8"/>
    <mergeCell ref="M10:N10"/>
    <mergeCell ref="P10:Q10"/>
    <mergeCell ref="S10:T10"/>
    <mergeCell ref="D10:E10"/>
    <mergeCell ref="G10:H10"/>
    <mergeCell ref="J10:K10"/>
    <mergeCell ref="G8:H8"/>
    <mergeCell ref="J8:K8"/>
    <mergeCell ref="A5:K5"/>
    <mergeCell ref="H1:K1"/>
    <mergeCell ref="A8:A9"/>
    <mergeCell ref="B8:B9"/>
    <mergeCell ref="C8:C9"/>
    <mergeCell ref="D8:E8"/>
  </mergeCells>
  <printOptions/>
  <pageMargins left="0.7874015748031497" right="0.7086614173228347" top="0.7874015748031497" bottom="0.3937007874015748" header="0.1968503937007874" footer="0.1968503937007874"/>
  <pageSetup blackAndWhite="1" horizontalDpi="600" verticalDpi="600" orientation="portrait" paperSize="9" scale="54" r:id="rId3"/>
  <headerFooter alignWithMargins="0">
    <oddHeader>&amp;R&amp;"Times New Roman,обычный"&amp;7
</oddHeader>
  </headerFooter>
  <rowBreaks count="1" manualBreakCount="1">
    <brk id="29"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Filatova</cp:lastModifiedBy>
  <cp:lastPrinted>2016-07-04T03:14:07Z</cp:lastPrinted>
  <dcterms:created xsi:type="dcterms:W3CDTF">2014-08-15T10:06:32Z</dcterms:created>
  <dcterms:modified xsi:type="dcterms:W3CDTF">2016-07-04T03:43:20Z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